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HYDRO\PROJECTS\Prattville\2024\C - Post Const\01 - Forms\2024-04-01 Published\"/>
    </mc:Choice>
  </mc:AlternateContent>
  <xr:revisionPtr revIDLastSave="0" documentId="13_ncr:1_{DA4DB15F-DE33-41AC-B75A-D446743C33AB}" xr6:coauthVersionLast="47" xr6:coauthVersionMax="47" xr10:uidLastSave="{00000000-0000-0000-0000-000000000000}"/>
  <workbookProtection workbookAlgorithmName="SHA-512" workbookHashValue="svDBDs1TGs5vRurU+2ZyzcWV5Nwi7iX3cd2eYkPmXkP606q2pKbN75wQMF5pAhBy/3ujttZw0YnIopJYsV3kEQ==" workbookSaltValue="RKZnHuLx0gYa/8SP91oiag==" workbookSpinCount="100000" lockStructure="1"/>
  <bookViews>
    <workbookView xWindow="13740" yWindow="-16320" windowWidth="29040" windowHeight="15840" tabRatio="647" firstSheet="1" activeTab="1" xr2:uid="{994EC860-6224-46C4-B304-9868EEFCD4CE}"/>
  </bookViews>
  <sheets>
    <sheet name="Tables" sheetId="2" state="veryHidden" r:id="rId1"/>
    <sheet name="Instructions" sheetId="4" r:id="rId2"/>
    <sheet name="Form 2C.1 - Design" sheetId="5" r:id="rId3"/>
    <sheet name="Form 2C.2 - Design Attachment" sheetId="10" r:id="rId4"/>
    <sheet name="Form 3C - As-built" sheetId="6" r:id="rId5"/>
    <sheet name="Form 4C - Inspection" sheetId="9" r:id="rId6"/>
  </sheets>
  <definedNames>
    <definedName name="_Hlk68675965" localSheetId="4">'Form 3C - As-built'!#REF!</definedName>
    <definedName name="Logo">INDEX(Tables!$C$32:$C$36,MATCH(Tables!$C$14,Tables!$B$32:$B$36,0))</definedName>
    <definedName name="Material">Tables!$A$2:$A$10</definedName>
    <definedName name="_xlnm.Print_Area" localSheetId="2">'Form 2C.1 - Design'!$A$1:$AK$248</definedName>
    <definedName name="_xlnm.Print_Area" localSheetId="3">'Form 2C.2 - Design Attachment'!$A$1:$AK$115</definedName>
    <definedName name="_xlnm.Print_Area" localSheetId="4">'Form 3C - As-built'!$A$1:$AL$253</definedName>
    <definedName name="_xlnm.Print_Area" localSheetId="5">'Form 4C - Inspection'!$A$1:$AK$166</definedName>
    <definedName name="_xlnm.Print_Titles" localSheetId="2">'Form 2C.1 - Design'!$1:$4</definedName>
    <definedName name="_xlnm.Print_Titles" localSheetId="3">'Form 2C.2 - Design Attachment'!$1:$4</definedName>
    <definedName name="_xlnm.Print_Titles" localSheetId="4">'Form 3C - As-built'!$1:$4</definedName>
    <definedName name="_xlnm.Print_Titles" localSheetId="5">'Form 4C - Inspection'!$1:$4</definedName>
    <definedName name="Shape">Tables!$C$2:$C$9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67" i="6" l="1"/>
  <c r="AN63" i="6"/>
  <c r="AN66" i="6" s="1"/>
  <c r="K65" i="6"/>
  <c r="K66" i="6"/>
  <c r="K67" i="6"/>
  <c r="P65" i="6"/>
  <c r="P66" i="6"/>
  <c r="P67" i="6"/>
  <c r="B66" i="6"/>
  <c r="B67" i="6"/>
  <c r="F65" i="6"/>
  <c r="F66" i="6"/>
  <c r="F67" i="6"/>
  <c r="B65" i="6"/>
  <c r="AN69" i="6"/>
  <c r="AE58" i="6"/>
  <c r="AM109" i="5"/>
  <c r="AL109" i="5"/>
  <c r="AM105" i="5"/>
  <c r="AL105" i="5"/>
  <c r="AM101" i="5"/>
  <c r="AL101" i="5"/>
  <c r="AN103" i="5"/>
  <c r="AN107" i="5"/>
  <c r="AN99" i="5"/>
  <c r="AM103" i="5"/>
  <c r="AM107" i="5"/>
  <c r="AM99" i="5"/>
  <c r="AN65" i="6" l="1"/>
  <c r="AL81" i="5"/>
  <c r="AM81" i="5"/>
  <c r="AM182" i="5"/>
  <c r="AL182" i="5"/>
  <c r="AM180" i="5"/>
  <c r="AL180" i="5"/>
  <c r="AM178" i="5"/>
  <c r="AL178" i="5"/>
  <c r="AO55" i="5"/>
  <c r="AN55" i="5"/>
  <c r="AM55" i="5"/>
  <c r="AL55" i="5"/>
  <c r="AL42" i="5"/>
  <c r="AL29" i="5"/>
  <c r="B115" i="10"/>
  <c r="B67" i="10"/>
  <c r="AE69" i="10"/>
  <c r="D69" i="10"/>
  <c r="R64" i="10"/>
  <c r="Y64" i="10" s="1"/>
  <c r="K64" i="10"/>
  <c r="AQ62" i="10"/>
  <c r="AP62" i="10"/>
  <c r="AN62" i="10"/>
  <c r="Y62" i="10"/>
  <c r="AQ60" i="10"/>
  <c r="AP60" i="10"/>
  <c r="AN60" i="10"/>
  <c r="Y60" i="10"/>
  <c r="AQ58" i="10"/>
  <c r="AP58" i="10"/>
  <c r="AN58" i="10"/>
  <c r="Y58" i="10"/>
  <c r="AQ56" i="10"/>
  <c r="AP56" i="10"/>
  <c r="AN56" i="10"/>
  <c r="Y56" i="10"/>
  <c r="AQ54" i="10"/>
  <c r="AP54" i="10"/>
  <c r="AN54" i="10"/>
  <c r="Y54" i="10"/>
  <c r="AQ52" i="10"/>
  <c r="AP52" i="10"/>
  <c r="AN52" i="10"/>
  <c r="Y52" i="10"/>
  <c r="AQ50" i="10"/>
  <c r="AP50" i="10"/>
  <c r="AN50" i="10"/>
  <c r="Y50" i="10"/>
  <c r="AQ48" i="10"/>
  <c r="AP48" i="10"/>
  <c r="AN48" i="10"/>
  <c r="Y48" i="10"/>
  <c r="AQ46" i="10"/>
  <c r="AP46" i="10"/>
  <c r="AN46" i="10"/>
  <c r="Y46" i="10"/>
  <c r="AQ44" i="10"/>
  <c r="AP44" i="10"/>
  <c r="AN44" i="10"/>
  <c r="Y44" i="10"/>
  <c r="AQ42" i="10"/>
  <c r="AP42" i="10"/>
  <c r="AN42" i="10"/>
  <c r="Y42" i="10"/>
  <c r="AQ40" i="10"/>
  <c r="AP40" i="10"/>
  <c r="AN40" i="10"/>
  <c r="Y40" i="10"/>
  <c r="AQ38" i="10"/>
  <c r="AP38" i="10"/>
  <c r="AN38" i="10"/>
  <c r="Y38" i="10"/>
  <c r="C38" i="10"/>
  <c r="AM38" i="10" s="1"/>
  <c r="AQ36" i="10"/>
  <c r="AP36" i="10"/>
  <c r="AN36" i="10"/>
  <c r="Y36" i="10"/>
  <c r="C36" i="10"/>
  <c r="AM36" i="10" s="1"/>
  <c r="AQ34" i="10"/>
  <c r="AP34" i="10"/>
  <c r="AN34" i="10"/>
  <c r="AM34" i="10"/>
  <c r="Y34" i="10"/>
  <c r="AP31" i="10"/>
  <c r="AO31" i="10"/>
  <c r="AN31" i="10"/>
  <c r="AM31" i="10"/>
  <c r="AP29" i="10"/>
  <c r="AO29" i="10"/>
  <c r="AN29" i="10"/>
  <c r="AM29" i="10"/>
  <c r="AP27" i="10"/>
  <c r="AO27" i="10"/>
  <c r="AN27" i="10"/>
  <c r="AM27" i="10"/>
  <c r="AM72" i="10"/>
  <c r="AN23" i="10"/>
  <c r="AM23" i="10"/>
  <c r="AO23" i="10" s="1"/>
  <c r="AP21" i="10"/>
  <c r="AO21" i="10"/>
  <c r="AN21" i="10"/>
  <c r="AM21" i="10"/>
  <c r="AP19" i="10"/>
  <c r="AO19" i="10"/>
  <c r="AQ19" i="10" s="1"/>
  <c r="AN19" i="10"/>
  <c r="AM19" i="10"/>
  <c r="BD1" i="10"/>
  <c r="AO165" i="5"/>
  <c r="L222" i="5" l="1"/>
  <c r="L223" i="5"/>
  <c r="AN182" i="5"/>
  <c r="L212" i="5"/>
  <c r="AL212" i="5" s="1"/>
  <c r="U62" i="10"/>
  <c r="U56" i="10"/>
  <c r="U50" i="10"/>
  <c r="U44" i="10"/>
  <c r="U38" i="10"/>
  <c r="N46" i="10"/>
  <c r="N62" i="10"/>
  <c r="N56" i="10"/>
  <c r="N50" i="10"/>
  <c r="N44" i="10"/>
  <c r="N38" i="10"/>
  <c r="N58" i="10"/>
  <c r="U64" i="10"/>
  <c r="U58" i="10"/>
  <c r="U52" i="10"/>
  <c r="U46" i="10"/>
  <c r="U40" i="10"/>
  <c r="U34" i="10"/>
  <c r="N64" i="10"/>
  <c r="N52" i="10"/>
  <c r="N40" i="10"/>
  <c r="U60" i="10"/>
  <c r="U54" i="10"/>
  <c r="U48" i="10"/>
  <c r="U42" i="10"/>
  <c r="U36" i="10"/>
  <c r="N60" i="10"/>
  <c r="N54" i="10"/>
  <c r="N48" i="10"/>
  <c r="N42" i="10"/>
  <c r="N36" i="10"/>
  <c r="N34" i="10"/>
  <c r="F33" i="10"/>
  <c r="AN33" i="10" s="1"/>
  <c r="B33" i="10"/>
  <c r="AM33" i="10" s="1"/>
  <c r="C40" i="10"/>
  <c r="AQ149" i="6"/>
  <c r="AN165" i="5"/>
  <c r="AO154" i="6"/>
  <c r="G147" i="6"/>
  <c r="G146" i="6"/>
  <c r="G145" i="6"/>
  <c r="G144" i="6"/>
  <c r="G143" i="6"/>
  <c r="G142" i="6"/>
  <c r="G154" i="6"/>
  <c r="G153" i="6"/>
  <c r="G152" i="6"/>
  <c r="G151" i="6"/>
  <c r="G150" i="6"/>
  <c r="G149" i="6"/>
  <c r="K170" i="5"/>
  <c r="K169" i="5"/>
  <c r="K168" i="5"/>
  <c r="K167" i="5"/>
  <c r="K166" i="5"/>
  <c r="K165" i="5"/>
  <c r="J53" i="5"/>
  <c r="J52" i="5"/>
  <c r="J51" i="5"/>
  <c r="J50" i="5"/>
  <c r="J49" i="5"/>
  <c r="J48" i="5"/>
  <c r="J40" i="5"/>
  <c r="J39" i="5"/>
  <c r="J38" i="5"/>
  <c r="J37" i="5"/>
  <c r="J36" i="5"/>
  <c r="J35" i="5"/>
  <c r="C15" i="2"/>
  <c r="C16" i="2"/>
  <c r="C149" i="6" s="1"/>
  <c r="C17" i="2"/>
  <c r="C143" i="6" s="1"/>
  <c r="C18" i="2"/>
  <c r="C151" i="6" s="1"/>
  <c r="C19" i="2"/>
  <c r="C152" i="6" s="1"/>
  <c r="C20" i="2"/>
  <c r="C146" i="6" s="1"/>
  <c r="C21" i="2"/>
  <c r="C154" i="6" s="1"/>
  <c r="C22" i="2"/>
  <c r="C23" i="2"/>
  <c r="C24" i="2"/>
  <c r="C25" i="2"/>
  <c r="C26" i="2"/>
  <c r="C27" i="2"/>
  <c r="C28" i="2"/>
  <c r="AR21" i="5" s="1"/>
  <c r="C42" i="10" l="1"/>
  <c r="AM40" i="10"/>
  <c r="F35" i="5"/>
  <c r="F37" i="5"/>
  <c r="C145" i="6"/>
  <c r="F50" i="5"/>
  <c r="F51" i="5"/>
  <c r="F52" i="5"/>
  <c r="F38" i="5"/>
  <c r="F53" i="5"/>
  <c r="F39" i="5"/>
  <c r="G169" i="5"/>
  <c r="C142" i="6"/>
  <c r="C144" i="6"/>
  <c r="C153" i="6"/>
  <c r="F48" i="5"/>
  <c r="C147" i="6"/>
  <c r="F36" i="5"/>
  <c r="G165" i="5"/>
  <c r="G166" i="5"/>
  <c r="C150" i="6"/>
  <c r="G167" i="5"/>
  <c r="G168" i="5"/>
  <c r="G170" i="5"/>
  <c r="F49" i="5"/>
  <c r="AO170" i="5"/>
  <c r="K84" i="9"/>
  <c r="K82" i="9"/>
  <c r="K80" i="9"/>
  <c r="K78" i="9"/>
  <c r="K76" i="9"/>
  <c r="K74" i="9"/>
  <c r="Q78" i="9"/>
  <c r="Q76" i="9"/>
  <c r="AL217" i="5"/>
  <c r="AS47" i="9"/>
  <c r="AO223" i="6"/>
  <c r="AN223" i="6"/>
  <c r="AM223" i="6"/>
  <c r="AO209" i="6"/>
  <c r="AN209" i="6"/>
  <c r="AM209" i="6"/>
  <c r="AQ12" i="5"/>
  <c r="AQ14" i="5" s="1"/>
  <c r="AQ20" i="5" s="1"/>
  <c r="AQ22" i="5" s="1"/>
  <c r="AQ25" i="5" s="1"/>
  <c r="AQ27" i="5" s="1"/>
  <c r="AQ31" i="5" s="1"/>
  <c r="AQ36" i="5" s="1"/>
  <c r="AT25" i="9"/>
  <c r="B252" i="6"/>
  <c r="C44" i="10" l="1"/>
  <c r="AM42" i="10"/>
  <c r="AF16" i="6"/>
  <c r="AM36" i="6"/>
  <c r="L57" i="6"/>
  <c r="G38" i="6"/>
  <c r="AM44" i="10" l="1"/>
  <c r="C46" i="10"/>
  <c r="Y96" i="5"/>
  <c r="AM75" i="5"/>
  <c r="C38" i="6"/>
  <c r="AP99" i="9"/>
  <c r="AP97" i="9"/>
  <c r="C48" i="10" l="1"/>
  <c r="AM46" i="10"/>
  <c r="AO97" i="9"/>
  <c r="AN97" i="9"/>
  <c r="AM97" i="9"/>
  <c r="AO103" i="9"/>
  <c r="AN103" i="9"/>
  <c r="AM103" i="9"/>
  <c r="AO101" i="9"/>
  <c r="AN101" i="9"/>
  <c r="AM101" i="9"/>
  <c r="AO99" i="9"/>
  <c r="AN99" i="9"/>
  <c r="AM99" i="9"/>
  <c r="Q86" i="9"/>
  <c r="AN86" i="9" s="1"/>
  <c r="Q84" i="9"/>
  <c r="AN84" i="9" s="1"/>
  <c r="Q80" i="9"/>
  <c r="AN78" i="9"/>
  <c r="AN76" i="9"/>
  <c r="AO86" i="9"/>
  <c r="AO84" i="9"/>
  <c r="AO78" i="9"/>
  <c r="AO76" i="9"/>
  <c r="C50" i="10" l="1"/>
  <c r="AM48" i="10"/>
  <c r="AR55" i="9"/>
  <c r="AQ55" i="9"/>
  <c r="AQ53" i="9"/>
  <c r="AQ51" i="9"/>
  <c r="AR41" i="9"/>
  <c r="AO45" i="9"/>
  <c r="AN45" i="9"/>
  <c r="AM45" i="9"/>
  <c r="AO27" i="9"/>
  <c r="AN27" i="9"/>
  <c r="AM27" i="9"/>
  <c r="AP39" i="9"/>
  <c r="AP37" i="9"/>
  <c r="AP35" i="9"/>
  <c r="AQ41" i="9"/>
  <c r="AM43" i="9"/>
  <c r="AO59" i="9"/>
  <c r="AN59" i="9"/>
  <c r="AM59" i="9"/>
  <c r="AO57" i="9"/>
  <c r="AN57" i="9"/>
  <c r="AM57" i="9"/>
  <c r="AO55" i="9"/>
  <c r="AN55" i="9"/>
  <c r="AM55" i="9"/>
  <c r="AO53" i="9"/>
  <c r="AN53" i="9"/>
  <c r="AM53" i="9"/>
  <c r="AO41" i="9"/>
  <c r="AN41" i="9"/>
  <c r="AM41" i="9"/>
  <c r="AO39" i="9"/>
  <c r="AN39" i="9"/>
  <c r="AM39" i="9"/>
  <c r="AO37" i="9"/>
  <c r="AN37" i="9"/>
  <c r="AM37" i="9"/>
  <c r="AO35" i="9"/>
  <c r="AN35" i="9"/>
  <c r="AM35" i="9"/>
  <c r="AO221" i="6"/>
  <c r="AN221" i="6"/>
  <c r="AM221" i="6"/>
  <c r="AO219" i="6"/>
  <c r="AN219" i="6"/>
  <c r="AM219" i="6"/>
  <c r="AO217" i="6"/>
  <c r="AN217" i="6"/>
  <c r="AM217" i="6"/>
  <c r="AO215" i="6"/>
  <c r="AN215" i="6"/>
  <c r="AM215" i="6"/>
  <c r="AO213" i="6"/>
  <c r="AN213" i="6"/>
  <c r="AM213" i="6"/>
  <c r="AO211" i="6"/>
  <c r="AN211" i="6"/>
  <c r="AM211" i="6"/>
  <c r="B247" i="5"/>
  <c r="AM50" i="10" l="1"/>
  <c r="C52" i="10"/>
  <c r="B166" i="9"/>
  <c r="Z138" i="9"/>
  <c r="AM135" i="9"/>
  <c r="AM127" i="9"/>
  <c r="AE122" i="9"/>
  <c r="AE121" i="9"/>
  <c r="E121" i="9"/>
  <c r="B120" i="9"/>
  <c r="AQ112" i="9"/>
  <c r="B74" i="9"/>
  <c r="AE67" i="9"/>
  <c r="AE66" i="9"/>
  <c r="E66" i="9"/>
  <c r="B65" i="9"/>
  <c r="AM70" i="9"/>
  <c r="AQ39" i="9"/>
  <c r="AQ37" i="9"/>
  <c r="AQ35" i="9"/>
  <c r="AQ33" i="9"/>
  <c r="AQ31" i="9"/>
  <c r="AQ29" i="9"/>
  <c r="AQ27" i="9"/>
  <c r="AQ25" i="9"/>
  <c r="AM25" i="9"/>
  <c r="AM23" i="9"/>
  <c r="BF1" i="9"/>
  <c r="C54" i="10" l="1"/>
  <c r="AM52" i="10"/>
  <c r="AM158" i="5"/>
  <c r="AN158" i="5"/>
  <c r="C56" i="10" l="1"/>
  <c r="AM54" i="10"/>
  <c r="AL131" i="5"/>
  <c r="AL132" i="5"/>
  <c r="AL133" i="5"/>
  <c r="AL134" i="5"/>
  <c r="AL135" i="5"/>
  <c r="AL136" i="5"/>
  <c r="AL137" i="5"/>
  <c r="L236" i="6"/>
  <c r="L230" i="6"/>
  <c r="L229" i="6"/>
  <c r="AM56" i="10" l="1"/>
  <c r="C58" i="10"/>
  <c r="AQ150" i="6"/>
  <c r="C60" i="10" l="1"/>
  <c r="AM58" i="10"/>
  <c r="AQ151" i="6"/>
  <c r="AQ152" i="6"/>
  <c r="AQ153" i="6"/>
  <c r="AQ154" i="6"/>
  <c r="AP152" i="6"/>
  <c r="AP153" i="6"/>
  <c r="AO150" i="6"/>
  <c r="AO151" i="6"/>
  <c r="AO152" i="6"/>
  <c r="AO153" i="6"/>
  <c r="AO149" i="6"/>
  <c r="AP100" i="6"/>
  <c r="AN100" i="6"/>
  <c r="AL170" i="5"/>
  <c r="AO167" i="5"/>
  <c r="AO168" i="5"/>
  <c r="AO169" i="5"/>
  <c r="AO166" i="5"/>
  <c r="AN166" i="5"/>
  <c r="AN167" i="5"/>
  <c r="AN168" i="5"/>
  <c r="AN169" i="5"/>
  <c r="AN170" i="5"/>
  <c r="AM166" i="5"/>
  <c r="AM167" i="5"/>
  <c r="AM168" i="5"/>
  <c r="AM169" i="5"/>
  <c r="AM170" i="5"/>
  <c r="AM165" i="5"/>
  <c r="AL165" i="5"/>
  <c r="AL166" i="5"/>
  <c r="AL167" i="5"/>
  <c r="AL168" i="5"/>
  <c r="AL169" i="5"/>
  <c r="AO142" i="5"/>
  <c r="AO141" i="5"/>
  <c r="AL53" i="5"/>
  <c r="AL52" i="5"/>
  <c r="AL51" i="5"/>
  <c r="AL50" i="5"/>
  <c r="AL49" i="5"/>
  <c r="AL40" i="5"/>
  <c r="AL39" i="5"/>
  <c r="AL38" i="5"/>
  <c r="AL37" i="5"/>
  <c r="AL36" i="5"/>
  <c r="AD94" i="6"/>
  <c r="AD93" i="6"/>
  <c r="AD92" i="6"/>
  <c r="AD91" i="6"/>
  <c r="AD90" i="6"/>
  <c r="AD89" i="6"/>
  <c r="AD88" i="6"/>
  <c r="AD85" i="6"/>
  <c r="N130" i="5"/>
  <c r="L85" i="6" s="1"/>
  <c r="N132" i="5"/>
  <c r="L89" i="6" s="1"/>
  <c r="N133" i="5"/>
  <c r="L90" i="6" s="1"/>
  <c r="N134" i="5"/>
  <c r="L91" i="6" s="1"/>
  <c r="N135" i="5"/>
  <c r="L92" i="6" s="1"/>
  <c r="N136" i="5"/>
  <c r="L93" i="6" s="1"/>
  <c r="N137" i="5"/>
  <c r="L94" i="6" s="1"/>
  <c r="N131" i="5"/>
  <c r="L88" i="6" s="1"/>
  <c r="AP145" i="6"/>
  <c r="AP154" i="6" s="1"/>
  <c r="AO148" i="6" l="1"/>
  <c r="AO164" i="5"/>
  <c r="C62" i="10"/>
  <c r="AM62" i="10" s="1"/>
  <c r="AM60" i="10"/>
  <c r="AT23" i="9"/>
  <c r="D127" i="9"/>
  <c r="G12" i="2"/>
  <c r="AD14" i="9"/>
  <c r="AM14" i="9" s="1"/>
  <c r="AM172" i="5"/>
  <c r="G6" i="2"/>
  <c r="J228" i="6"/>
  <c r="AQ148" i="6"/>
  <c r="AP149" i="6"/>
  <c r="AP151" i="6"/>
  <c r="AP150" i="6"/>
  <c r="AL164" i="5"/>
  <c r="AL47" i="5"/>
  <c r="AL34" i="5"/>
  <c r="AE14" i="6"/>
  <c r="AM14" i="6" s="1"/>
  <c r="L228" i="6" l="1"/>
  <c r="AP102" i="6"/>
  <c r="AN102" i="6"/>
  <c r="AP101" i="6"/>
  <c r="AM233" i="6" l="1"/>
  <c r="AO148" i="5"/>
  <c r="AN148" i="5"/>
  <c r="L221" i="5" l="1"/>
  <c r="AL221" i="5" s="1"/>
  <c r="AE206" i="5" l="1"/>
  <c r="AE205" i="5"/>
  <c r="D205" i="5"/>
  <c r="AG204" i="6"/>
  <c r="D15" i="2" l="1"/>
  <c r="AA26" i="5" s="1"/>
  <c r="AM146" i="6"/>
  <c r="B202" i="6"/>
  <c r="B157" i="6"/>
  <c r="B111" i="6"/>
  <c r="B60" i="6"/>
  <c r="AP98" i="6"/>
  <c r="AQ98" i="6"/>
  <c r="AO98" i="6"/>
  <c r="AM62" i="5"/>
  <c r="AN130" i="5" s="1"/>
  <c r="B204" i="5"/>
  <c r="B160" i="5"/>
  <c r="B112" i="5"/>
  <c r="B57" i="5"/>
  <c r="AL162" i="5"/>
  <c r="L214" i="5" l="1"/>
  <c r="AL214" i="5" s="1"/>
  <c r="L218" i="5"/>
  <c r="AL218" i="5" s="1"/>
  <c r="AR18" i="5"/>
  <c r="AV40" i="6"/>
  <c r="AA18" i="6"/>
  <c r="AT52" i="6"/>
  <c r="D186" i="5"/>
  <c r="AM79" i="6"/>
  <c r="AM78" i="6"/>
  <c r="AM73" i="6"/>
  <c r="AM72" i="6"/>
  <c r="AM69" i="6"/>
  <c r="I55" i="6"/>
  <c r="AN44" i="6"/>
  <c r="AN42" i="6"/>
  <c r="AM44" i="6"/>
  <c r="AM42" i="6"/>
  <c r="AM40" i="6"/>
  <c r="AM32" i="6"/>
  <c r="AM29" i="6"/>
  <c r="AM27" i="6"/>
  <c r="AM26" i="6"/>
  <c r="AN23" i="6"/>
  <c r="AM34" i="6"/>
  <c r="AM23" i="6"/>
  <c r="P73" i="6"/>
  <c r="P72" i="6"/>
  <c r="F73" i="6"/>
  <c r="I72" i="6"/>
  <c r="P69" i="6"/>
  <c r="O70" i="6"/>
  <c r="F70" i="6"/>
  <c r="I69" i="6"/>
  <c r="N56" i="6"/>
  <c r="N55" i="6"/>
  <c r="N54" i="6"/>
  <c r="N53" i="6"/>
  <c r="I56" i="6"/>
  <c r="I54" i="6"/>
  <c r="I53" i="6"/>
  <c r="N48" i="6"/>
  <c r="N49" i="6"/>
  <c r="N50" i="6"/>
  <c r="N51" i="6"/>
  <c r="N47" i="6"/>
  <c r="I48" i="6"/>
  <c r="I49" i="6"/>
  <c r="I50" i="6"/>
  <c r="I51" i="6"/>
  <c r="I47" i="6"/>
  <c r="N44" i="6"/>
  <c r="N42" i="6"/>
  <c r="I44" i="6"/>
  <c r="F44" i="6"/>
  <c r="I42" i="6"/>
  <c r="F42" i="6"/>
  <c r="G40" i="6"/>
  <c r="N36" i="6"/>
  <c r="C40" i="6"/>
  <c r="G36" i="6"/>
  <c r="C36" i="6"/>
  <c r="B34" i="6"/>
  <c r="O32" i="6"/>
  <c r="F32" i="6"/>
  <c r="F31" i="6"/>
  <c r="K29" i="6"/>
  <c r="N27" i="6"/>
  <c r="N25" i="6"/>
  <c r="N24" i="6"/>
  <c r="G27" i="6"/>
  <c r="G26" i="6"/>
  <c r="G25" i="6"/>
  <c r="G24" i="6"/>
  <c r="N23" i="6"/>
  <c r="B23" i="6"/>
  <c r="AO137" i="5"/>
  <c r="AO139" i="5"/>
  <c r="AL124" i="5" l="1"/>
  <c r="AL123" i="5"/>
  <c r="L58" i="6"/>
  <c r="AM119" i="5"/>
  <c r="AM117" i="5"/>
  <c r="AL119" i="5"/>
  <c r="AL117" i="5"/>
  <c r="AM83" i="5"/>
  <c r="AL83" i="5"/>
  <c r="AN77" i="5"/>
  <c r="AN68" i="5"/>
  <c r="AM69" i="5"/>
  <c r="AL69" i="5"/>
  <c r="AL73" i="5"/>
  <c r="AM71" i="5"/>
  <c r="AL71" i="5"/>
  <c r="AL75" i="5"/>
  <c r="AL68" i="5"/>
  <c r="AM66" i="5"/>
  <c r="AL64" i="5"/>
  <c r="AL62" i="5"/>
  <c r="AE114" i="5" l="1"/>
  <c r="AE113" i="5"/>
  <c r="D113" i="5"/>
  <c r="E78" i="6" l="1"/>
  <c r="B6" i="4"/>
  <c r="B34" i="4" s="1"/>
  <c r="B35" i="4" s="1"/>
  <c r="J27" i="5"/>
  <c r="AL23" i="5" s="1"/>
  <c r="W27" i="5" s="1"/>
  <c r="P30" i="5"/>
  <c r="L30" i="5"/>
  <c r="W23" i="5" l="1"/>
  <c r="W26" i="5"/>
  <c r="BD1" i="6"/>
  <c r="AG158" i="6" l="1"/>
  <c r="AG112" i="6"/>
  <c r="AH147" i="6" l="1"/>
  <c r="AH146" i="6"/>
  <c r="AH145" i="6"/>
  <c r="AH144" i="6"/>
  <c r="AH143" i="6"/>
  <c r="AH142" i="6"/>
  <c r="AC147" i="6"/>
  <c r="AC146" i="6"/>
  <c r="AC145" i="6"/>
  <c r="AC144" i="6"/>
  <c r="AC143" i="6"/>
  <c r="AC142" i="6"/>
  <c r="AG61" i="6"/>
  <c r="X147" i="6"/>
  <c r="X146" i="6"/>
  <c r="X145" i="6"/>
  <c r="X144" i="6"/>
  <c r="X143" i="6"/>
  <c r="X142" i="6"/>
  <c r="S147" i="6"/>
  <c r="S146" i="6"/>
  <c r="S145" i="6"/>
  <c r="S144" i="6"/>
  <c r="S143" i="6"/>
  <c r="S142" i="6"/>
  <c r="N147" i="6"/>
  <c r="AN154" i="6" s="1"/>
  <c r="N146" i="6"/>
  <c r="AN153" i="6" s="1"/>
  <c r="N145" i="6"/>
  <c r="AN152" i="6" s="1"/>
  <c r="N144" i="6"/>
  <c r="AN151" i="6" s="1"/>
  <c r="N143" i="6"/>
  <c r="AN150" i="6" s="1"/>
  <c r="N142" i="6"/>
  <c r="AN149" i="6" s="1"/>
  <c r="M129" i="6"/>
  <c r="M130" i="6"/>
  <c r="M131" i="6"/>
  <c r="M132" i="6"/>
  <c r="M133" i="6"/>
  <c r="M134" i="6"/>
  <c r="M135" i="6"/>
  <c r="M136" i="6"/>
  <c r="M137" i="6"/>
  <c r="G129" i="6"/>
  <c r="G130" i="6"/>
  <c r="G131" i="6"/>
  <c r="G132" i="6"/>
  <c r="G133" i="6"/>
  <c r="G134" i="6"/>
  <c r="G135" i="6"/>
  <c r="G136" i="6"/>
  <c r="G137" i="6"/>
  <c r="B129" i="6"/>
  <c r="B130" i="6"/>
  <c r="B131" i="6"/>
  <c r="B132" i="6"/>
  <c r="B133" i="6"/>
  <c r="B134" i="6"/>
  <c r="B135" i="6"/>
  <c r="B136" i="6"/>
  <c r="B137" i="6"/>
  <c r="M128" i="6"/>
  <c r="G128" i="6"/>
  <c r="B128" i="6"/>
  <c r="M119" i="6"/>
  <c r="M120" i="6"/>
  <c r="M121" i="6"/>
  <c r="M122" i="6"/>
  <c r="M123" i="6"/>
  <c r="M124" i="6"/>
  <c r="M125" i="6"/>
  <c r="M126" i="6"/>
  <c r="M127" i="6"/>
  <c r="M118" i="6"/>
  <c r="G127" i="6"/>
  <c r="G126" i="6"/>
  <c r="G125" i="6"/>
  <c r="G124" i="6"/>
  <c r="G123" i="6"/>
  <c r="G122" i="6"/>
  <c r="G121" i="6"/>
  <c r="G120" i="6"/>
  <c r="G119" i="6"/>
  <c r="G118" i="6"/>
  <c r="B127" i="6"/>
  <c r="B126" i="6"/>
  <c r="B125" i="6"/>
  <c r="B124" i="6"/>
  <c r="B123" i="6"/>
  <c r="B122" i="6"/>
  <c r="B121" i="6"/>
  <c r="B120" i="6"/>
  <c r="B119" i="6"/>
  <c r="B118" i="6"/>
  <c r="Q94" i="6"/>
  <c r="M94" i="6"/>
  <c r="I94" i="6"/>
  <c r="E94" i="6"/>
  <c r="Q93" i="6"/>
  <c r="M93" i="6"/>
  <c r="I93" i="6"/>
  <c r="E93" i="6"/>
  <c r="Q92" i="6"/>
  <c r="M92" i="6"/>
  <c r="I92" i="6"/>
  <c r="E92" i="6"/>
  <c r="Q91" i="6"/>
  <c r="M91" i="6"/>
  <c r="I91" i="6"/>
  <c r="E91" i="6"/>
  <c r="Q90" i="6"/>
  <c r="M90" i="6"/>
  <c r="I90" i="6"/>
  <c r="E90" i="6"/>
  <c r="Q89" i="6"/>
  <c r="M89" i="6"/>
  <c r="I89" i="6"/>
  <c r="E89" i="6"/>
  <c r="Q88" i="6"/>
  <c r="M88" i="6"/>
  <c r="I88" i="6"/>
  <c r="E88" i="6"/>
  <c r="Q85" i="6"/>
  <c r="M85" i="6"/>
  <c r="I85" i="6"/>
  <c r="E85" i="6"/>
  <c r="B94" i="6"/>
  <c r="B93" i="6"/>
  <c r="B92" i="6"/>
  <c r="B91" i="6"/>
  <c r="B90" i="6"/>
  <c r="B89" i="6"/>
  <c r="B88" i="6"/>
  <c r="Q84" i="6"/>
  <c r="M84" i="6"/>
  <c r="I84" i="6"/>
  <c r="E84" i="6"/>
  <c r="E77" i="6"/>
  <c r="N77" i="6" l="1"/>
  <c r="AM177" i="6" l="1"/>
  <c r="AO137" i="6"/>
  <c r="AO136" i="6"/>
  <c r="AO135" i="6"/>
  <c r="AO134" i="6"/>
  <c r="AO133" i="6"/>
  <c r="AO132" i="6"/>
  <c r="AO131" i="6"/>
  <c r="AO130" i="6"/>
  <c r="AO129" i="6"/>
  <c r="AO128" i="6"/>
  <c r="AO127" i="6"/>
  <c r="AO126" i="6"/>
  <c r="AO125" i="6"/>
  <c r="AO124" i="6"/>
  <c r="AO123" i="6"/>
  <c r="AO122" i="6"/>
  <c r="AO121" i="6"/>
  <c r="AO120" i="6"/>
  <c r="AO119" i="6"/>
  <c r="AO118" i="6"/>
  <c r="AN118" i="6"/>
  <c r="AM118" i="6"/>
  <c r="AN106" i="6"/>
  <c r="I106" i="6"/>
  <c r="AN105" i="6"/>
  <c r="I105" i="6"/>
  <c r="O102" i="6"/>
  <c r="E102" i="6"/>
  <c r="O101" i="6"/>
  <c r="E101" i="6"/>
  <c r="AN101" i="6"/>
  <c r="AN98" i="6" s="1"/>
  <c r="O100" i="6"/>
  <c r="E100" i="6"/>
  <c r="AM94" i="6"/>
  <c r="AM93" i="6"/>
  <c r="AM92" i="6"/>
  <c r="AM91" i="6"/>
  <c r="AM90" i="6"/>
  <c r="AM89" i="6"/>
  <c r="AM88" i="6"/>
  <c r="AM87" i="6"/>
  <c r="H87" i="6"/>
  <c r="E87" i="6"/>
  <c r="AM85" i="6"/>
  <c r="AM84" i="6"/>
  <c r="AM82" i="6"/>
  <c r="H82" i="6"/>
  <c r="E82" i="6"/>
  <c r="M80" i="6"/>
  <c r="E80" i="6"/>
  <c r="M79" i="6"/>
  <c r="E79" i="6"/>
  <c r="E16" i="6"/>
  <c r="E15" i="6"/>
  <c r="D204" i="6" s="1"/>
  <c r="AG159" i="6" l="1"/>
  <c r="AG205" i="6"/>
  <c r="D61" i="6"/>
  <c r="D158" i="6"/>
  <c r="AG113" i="6"/>
  <c r="AP148" i="6"/>
  <c r="AG62" i="6"/>
  <c r="AP106" i="6"/>
  <c r="D112" i="6"/>
  <c r="AM128" i="5"/>
  <c r="L231" i="6" l="1"/>
  <c r="AM231" i="6" s="1"/>
  <c r="L237" i="6"/>
  <c r="AM237" i="6" s="1"/>
  <c r="AM236" i="6"/>
  <c r="L238" i="6"/>
  <c r="AM238" i="6" s="1"/>
  <c r="AM229" i="6"/>
  <c r="AN148" i="6"/>
  <c r="F40" i="5"/>
  <c r="L235" i="6" l="1"/>
  <c r="AM235" i="6" s="1"/>
  <c r="W25" i="5"/>
  <c r="AM147" i="5"/>
  <c r="AM146" i="5"/>
  <c r="AO144" i="5"/>
  <c r="AM144" i="5"/>
  <c r="AM142" i="5"/>
  <c r="AM53" i="5"/>
  <c r="AM52" i="5"/>
  <c r="AM51" i="5"/>
  <c r="AM50" i="5"/>
  <c r="AM49" i="5"/>
  <c r="AM48" i="5"/>
  <c r="AM36" i="5"/>
  <c r="AM37" i="5"/>
  <c r="AM38" i="5"/>
  <c r="AM39" i="5"/>
  <c r="AM40" i="5"/>
  <c r="AM35" i="5"/>
  <c r="AM141" i="5"/>
  <c r="AM139" i="5" l="1"/>
  <c r="L213" i="5" s="1"/>
  <c r="AL213" i="5" s="1"/>
  <c r="AO146" i="5"/>
  <c r="I142" i="6"/>
  <c r="AM149" i="6" s="1"/>
  <c r="AL139" i="5"/>
  <c r="AM122" i="5"/>
  <c r="AB43" i="5"/>
  <c r="X43" i="5"/>
  <c r="T43" i="5"/>
  <c r="P43" i="5"/>
  <c r="L43" i="5"/>
  <c r="AB30" i="5"/>
  <c r="X30" i="5"/>
  <c r="T30" i="5"/>
  <c r="AM157" i="5"/>
  <c r="AL157" i="5"/>
  <c r="AL149" i="5"/>
  <c r="AM149" i="5"/>
  <c r="AL150" i="5"/>
  <c r="AM150" i="5"/>
  <c r="AL151" i="5"/>
  <c r="AM151" i="5"/>
  <c r="AL152" i="5"/>
  <c r="AM152" i="5"/>
  <c r="AL153" i="5"/>
  <c r="AM153" i="5"/>
  <c r="AL154" i="5"/>
  <c r="AM154" i="5"/>
  <c r="AL155" i="5"/>
  <c r="AM155" i="5"/>
  <c r="AL156" i="5"/>
  <c r="AM156" i="5"/>
  <c r="AM148" i="5"/>
  <c r="AL148" i="5"/>
  <c r="AM130" i="5"/>
  <c r="AL130" i="5"/>
  <c r="AL128" i="5"/>
  <c r="AM125" i="5"/>
  <c r="AE162" i="5"/>
  <c r="AE161" i="5"/>
  <c r="D161" i="5"/>
  <c r="AE59" i="5"/>
  <c r="AE58" i="5"/>
  <c r="D58" i="5"/>
  <c r="J109" i="6"/>
  <c r="BB1" i="5"/>
  <c r="AN109" i="6" l="1"/>
  <c r="AN110" i="6"/>
  <c r="L232" i="6" s="1"/>
  <c r="AM232" i="6" s="1"/>
  <c r="L215" i="5"/>
  <c r="AL215" i="5" s="1"/>
  <c r="I147" i="6"/>
  <c r="AM154" i="6" s="1"/>
  <c r="I146" i="6"/>
  <c r="AM153" i="6" s="1"/>
  <c r="I145" i="6"/>
  <c r="AM152" i="6" s="1"/>
  <c r="I144" i="6"/>
  <c r="AM151" i="6" s="1"/>
  <c r="I143" i="6"/>
  <c r="AM150" i="6" s="1"/>
  <c r="AM34" i="5"/>
  <c r="L210" i="5" s="1"/>
  <c r="AL210" i="5" s="1"/>
  <c r="AM164" i="5"/>
  <c r="AM47" i="5"/>
  <c r="L219" i="5" l="1"/>
  <c r="AL219" i="5" s="1"/>
  <c r="L211" i="5"/>
  <c r="AL211" i="5" s="1"/>
  <c r="H158" i="5"/>
  <c r="AM159" i="5" l="1"/>
  <c r="L216" i="5" s="1"/>
  <c r="AL216" i="5" s="1"/>
  <c r="AN164" i="5"/>
  <c r="L220" i="5" s="1"/>
  <c r="AL220" i="5" s="1"/>
  <c r="AL209" i="5" l="1"/>
  <c r="AM148" i="6"/>
  <c r="L234" i="6" l="1"/>
  <c r="AM234" i="6" s="1"/>
  <c r="AM2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4" authorId="0" shapeId="0" xr:uid="{5B9A1459-A3FB-4ABC-9DF8-67E328BB8B06}">
      <text>
        <r>
          <rPr>
            <b/>
            <sz val="9"/>
            <color indexed="81"/>
            <rFont val="Tahoma"/>
            <family val="2"/>
          </rPr>
          <t>Note:</t>
        </r>
        <r>
          <rPr>
            <sz val="9"/>
            <color indexed="81"/>
            <rFont val="Tahoma"/>
            <family val="2"/>
          </rPr>
          <t xml:space="preserve">
Enter street address of proposed development</t>
        </r>
      </text>
    </comment>
    <comment ref="AE14" authorId="0" shapeId="0" xr:uid="{B2BA6700-D561-4593-BF38-31FCD9F8DDAA}">
      <text>
        <r>
          <rPr>
            <b/>
            <sz val="9"/>
            <color indexed="81"/>
            <rFont val="Tahoma"/>
            <family val="2"/>
          </rPr>
          <t>Note:</t>
        </r>
        <r>
          <rPr>
            <sz val="9"/>
            <color indexed="81"/>
            <rFont val="Tahoma"/>
            <family val="2"/>
          </rPr>
          <t xml:space="preserve">
Provide a unique BMP ID
Examples:
   Pond 1
   Pond A
   1
   A</t>
        </r>
      </text>
    </comment>
    <comment ref="AA21" authorId="0" shapeId="0" xr:uid="{7CD05861-BA09-4862-B967-CA6B2211C912}">
      <text>
        <r>
          <rPr>
            <b/>
            <sz val="9"/>
            <color indexed="81"/>
            <rFont val="Tahoma"/>
            <family val="2"/>
          </rPr>
          <t>Note:</t>
        </r>
        <r>
          <rPr>
            <sz val="9"/>
            <color indexed="81"/>
            <rFont val="Tahoma"/>
            <family val="2"/>
          </rPr>
          <t xml:space="preserve">
If there is no EIA, enter 0</t>
        </r>
      </text>
    </comment>
    <comment ref="L31" authorId="0" shapeId="0" xr:uid="{E5051EA4-79E2-4973-9BE5-755DFED7D3BD}">
      <text>
        <r>
          <rPr>
            <b/>
            <sz val="9"/>
            <color indexed="81"/>
            <rFont val="Tahoma"/>
            <family val="2"/>
          </rPr>
          <t>Note:</t>
        </r>
        <r>
          <rPr>
            <sz val="9"/>
            <color indexed="81"/>
            <rFont val="Tahoma"/>
            <family val="2"/>
          </rPr>
          <t xml:space="preserve">
Enter a unique Basin ID for each subbasin</t>
        </r>
      </text>
    </comment>
    <comment ref="L44" authorId="0" shapeId="0" xr:uid="{0E1E7159-3EE1-4E74-A67D-8E3E34A7F559}">
      <text>
        <r>
          <rPr>
            <b/>
            <sz val="9"/>
            <color indexed="81"/>
            <rFont val="Tahoma"/>
            <family val="2"/>
          </rPr>
          <t>Note:</t>
        </r>
        <r>
          <rPr>
            <sz val="9"/>
            <color indexed="81"/>
            <rFont val="Tahoma"/>
            <family val="2"/>
          </rPr>
          <t xml:space="preserve">
Enter a unique Basin ID for each subbasin</t>
        </r>
      </text>
    </comment>
    <comment ref="C131" authorId="0" shapeId="0" xr:uid="{D8C999FC-11DE-4E3C-8863-0A90B6643236}">
      <text>
        <r>
          <rPr>
            <b/>
            <sz val="9"/>
            <color indexed="81"/>
            <rFont val="Tahoma"/>
            <family val="2"/>
          </rPr>
          <t>Note:</t>
        </r>
        <r>
          <rPr>
            <sz val="9"/>
            <color indexed="81"/>
            <rFont val="Tahoma"/>
            <family val="2"/>
          </rPr>
          <t xml:space="preserve">
Select control structure type:  Orifice or Weir</t>
        </r>
      </text>
    </comment>
    <comment ref="O144" authorId="0" shapeId="0" xr:uid="{ED441B8B-F4E8-4DFF-B2B4-4A1C36B63B77}">
      <text>
        <r>
          <rPr>
            <b/>
            <sz val="9"/>
            <color indexed="81"/>
            <rFont val="Tahoma"/>
            <family val="2"/>
          </rPr>
          <t>Note:</t>
        </r>
        <r>
          <rPr>
            <sz val="9"/>
            <color indexed="81"/>
            <rFont val="Tahoma"/>
            <family val="2"/>
          </rPr>
          <t xml:space="preserve">
Enter number in decimal format.  Example: 00.000000</t>
        </r>
      </text>
    </comment>
    <comment ref="W144" authorId="0" shapeId="0" xr:uid="{A67D1F63-C7ED-4D54-B4E6-5885F7AA49AD}">
      <text>
        <r>
          <rPr>
            <b/>
            <sz val="9"/>
            <color indexed="81"/>
            <rFont val="Tahoma"/>
            <family val="2"/>
          </rPr>
          <t>Note:</t>
        </r>
        <r>
          <rPr>
            <sz val="9"/>
            <color indexed="81"/>
            <rFont val="Tahoma"/>
            <family val="2"/>
          </rPr>
          <t xml:space="preserve">
Enter number in decimal format.  Example: 00.000000</t>
        </r>
      </text>
    </comment>
    <comment ref="C148" authorId="0" shapeId="0" xr:uid="{09E594E1-6D08-4498-A29B-3E90B59431AB}">
      <text>
        <r>
          <rPr>
            <b/>
            <sz val="9"/>
            <color indexed="81"/>
            <rFont val="Tahoma"/>
            <family val="2"/>
          </rPr>
          <t>Note:</t>
        </r>
        <r>
          <rPr>
            <sz val="9"/>
            <color indexed="81"/>
            <rFont val="Tahoma"/>
            <family val="2"/>
          </rPr>
          <t xml:space="preserve">
Include the elevation that represents the WQv</t>
        </r>
      </text>
    </comment>
    <comment ref="F196" authorId="0" shapeId="0" xr:uid="{91204377-D473-46C2-91C3-FFF293F068C4}">
      <text>
        <r>
          <rPr>
            <b/>
            <sz val="9"/>
            <color indexed="81"/>
            <rFont val="Tahoma"/>
            <family val="2"/>
          </rPr>
          <t>Note:</t>
        </r>
        <r>
          <rPr>
            <sz val="9"/>
            <color indexed="81"/>
            <rFont val="Tahoma"/>
            <family val="2"/>
          </rPr>
          <t xml:space="preserve">
Enter street addres of proposed development</t>
        </r>
      </text>
    </comment>
    <comment ref="AD201" authorId="0" shapeId="0" xr:uid="{2C40B5C6-9469-4500-9E60-93CD2618B445}">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6" authorId="0" shapeId="0" xr:uid="{B3A0F0B8-8EB3-424D-8035-6317E50F8926}">
      <text>
        <r>
          <rPr>
            <b/>
            <sz val="9"/>
            <color indexed="81"/>
            <rFont val="Tahoma"/>
            <family val="2"/>
          </rPr>
          <t>Note:</t>
        </r>
        <r>
          <rPr>
            <sz val="9"/>
            <color indexed="81"/>
            <rFont val="Tahoma"/>
            <family val="2"/>
          </rPr>
          <t xml:space="preserve">
Enter street address of proposed development</t>
        </r>
      </text>
    </comment>
    <comment ref="AE16" authorId="0" shapeId="0" xr:uid="{C904D0D6-4D1B-4AD3-B306-996E774FE6A6}">
      <text>
        <r>
          <rPr>
            <b/>
            <sz val="9"/>
            <color indexed="81"/>
            <rFont val="Tahoma"/>
            <family val="2"/>
          </rPr>
          <t>Note:</t>
        </r>
        <r>
          <rPr>
            <sz val="9"/>
            <color indexed="81"/>
            <rFont val="Tahoma"/>
            <family val="2"/>
          </rPr>
          <t xml:space="preserve">
Enter number in decimal format.  Example: 00.000000</t>
        </r>
      </text>
    </comment>
    <comment ref="AE17" authorId="0" shapeId="0" xr:uid="{AC10640D-A592-412A-A757-90829C990683}">
      <text>
        <r>
          <rPr>
            <b/>
            <sz val="9"/>
            <color indexed="81"/>
            <rFont val="Tahoma"/>
            <family val="2"/>
          </rPr>
          <t>Note:</t>
        </r>
        <r>
          <rPr>
            <sz val="9"/>
            <color indexed="81"/>
            <rFont val="Tahoma"/>
            <family val="2"/>
          </rPr>
          <t xml:space="preserve">
Enter number in decimal format.  Example: -00.000000</t>
        </r>
      </text>
    </comment>
    <comment ref="E86" authorId="0" shapeId="0" xr:uid="{0F6FE89F-26E5-4EA3-B79A-AAAD7CA2A17C}">
      <text>
        <r>
          <rPr>
            <b/>
            <sz val="9"/>
            <color indexed="81"/>
            <rFont val="Tahoma"/>
            <family val="2"/>
          </rPr>
          <t>Note:</t>
        </r>
        <r>
          <rPr>
            <sz val="9"/>
            <color indexed="81"/>
            <rFont val="Tahoma"/>
            <family val="2"/>
          </rPr>
          <t xml:space="preserve">
Enter street address of proposed development</t>
        </r>
      </text>
    </comment>
    <comment ref="AC91" authorId="0" shapeId="0" xr:uid="{0D5C0241-0099-422C-9A49-0D4034B6162A}">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or provide an explanation in the comments section.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AD105" authorId="0" shapeId="0" xr:uid="{73AE3B07-FC38-41E9-B355-BADDA9E85E47}">
      <text>
        <r>
          <rPr>
            <b/>
            <sz val="9"/>
            <color indexed="81"/>
            <rFont val="Tahoma"/>
            <family val="2"/>
          </rPr>
          <t>Note:</t>
        </r>
        <r>
          <rPr>
            <sz val="9"/>
            <color indexed="81"/>
            <rFont val="Tahoma"/>
            <family val="2"/>
          </rPr>
          <t xml:space="preserve">
Enter number in decimal format.
Example:  00.000000</t>
        </r>
      </text>
    </comment>
    <comment ref="AD106" authorId="0" shapeId="0" xr:uid="{F9179B53-D609-4D14-830E-7A120F9ADEF9}">
      <text>
        <r>
          <rPr>
            <b/>
            <sz val="9"/>
            <color indexed="81"/>
            <rFont val="Tahoma"/>
            <family val="2"/>
          </rPr>
          <t>Note:</t>
        </r>
        <r>
          <rPr>
            <sz val="9"/>
            <color indexed="81"/>
            <rFont val="Tahoma"/>
            <family val="2"/>
          </rPr>
          <t xml:space="preserve">
Enter number in decimal format.
Example:  00.000000</t>
        </r>
      </text>
    </comment>
    <comment ref="E191" authorId="0" shapeId="0" xr:uid="{4D5D67D7-9586-40F2-BF3A-CC70E6B8FC16}">
      <text>
        <r>
          <rPr>
            <b/>
            <sz val="9"/>
            <color indexed="81"/>
            <rFont val="Tahoma"/>
            <family val="2"/>
          </rPr>
          <t>Note:</t>
        </r>
        <r>
          <rPr>
            <sz val="9"/>
            <color indexed="81"/>
            <rFont val="Tahoma"/>
            <family val="2"/>
          </rPr>
          <t xml:space="preserve">
Enter street addres of proposed development</t>
        </r>
      </text>
    </comment>
    <comment ref="AC196" authorId="0" shapeId="0" xr:uid="{B2E0CADE-8502-4F6D-9CD0-D8404C383B73}">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
        2.  If comments are shown in the Automated Review Checks, resolve the comments or provide an explination in the comments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BDS</author>
  </authors>
  <commentList>
    <comment ref="E15" authorId="0" shapeId="0" xr:uid="{D289AAB8-8B39-41CF-9F60-3B91580CCEFE}">
      <text>
        <r>
          <rPr>
            <b/>
            <sz val="9"/>
            <color indexed="81"/>
            <rFont val="Tahoma"/>
            <family val="2"/>
          </rPr>
          <t>Note:</t>
        </r>
        <r>
          <rPr>
            <sz val="9"/>
            <color indexed="81"/>
            <rFont val="Tahoma"/>
            <family val="2"/>
          </rPr>
          <t xml:space="preserve">
Enter the name of the development</t>
        </r>
      </text>
    </comment>
    <comment ref="AE17" authorId="0" shapeId="0" xr:uid="{F5698AC0-FA81-4CCB-8F6B-C41E2E0514D1}">
      <text>
        <r>
          <rPr>
            <b/>
            <sz val="9"/>
            <color indexed="81"/>
            <rFont val="Tahoma"/>
            <family val="2"/>
          </rPr>
          <t>Note:</t>
        </r>
        <r>
          <rPr>
            <sz val="9"/>
            <color indexed="81"/>
            <rFont val="Tahoma"/>
            <family val="2"/>
          </rPr>
          <t xml:space="preserve">
Enter number in decimal format.
Example:  00.000000</t>
        </r>
      </text>
    </comment>
    <comment ref="AE18" authorId="0" shapeId="0" xr:uid="{24554DD5-0BD6-4925-AB14-5007D0653249}">
      <text>
        <r>
          <rPr>
            <b/>
            <sz val="9"/>
            <color indexed="81"/>
            <rFont val="Tahoma"/>
            <family val="2"/>
          </rPr>
          <t>Note:</t>
        </r>
        <r>
          <rPr>
            <sz val="9"/>
            <color indexed="81"/>
            <rFont val="Tahoma"/>
            <family val="2"/>
          </rPr>
          <t xml:space="preserve">
Enter number in decimal format.
Example:  00.000000</t>
        </r>
      </text>
    </comment>
    <comment ref="Z135" authorId="0" shapeId="0" xr:uid="{266AE7C6-9D3A-4763-ABE3-99FF188C64C3}">
      <text>
        <r>
          <rPr>
            <b/>
            <sz val="9"/>
            <color indexed="81"/>
            <rFont val="Tahoma"/>
            <family val="2"/>
          </rPr>
          <t>Note:</t>
        </r>
        <r>
          <rPr>
            <sz val="9"/>
            <color indexed="81"/>
            <rFont val="Tahoma"/>
            <family val="2"/>
          </rPr>
          <t xml:space="preserve">
Use the drop down list to select your professional registration type.</t>
        </r>
      </text>
    </comment>
    <comment ref="Z141" authorId="0" shapeId="0" xr:uid="{7AB0C077-9C42-4543-8393-2418A6CF64E0}">
      <text>
        <r>
          <rPr>
            <b/>
            <sz val="9"/>
            <color indexed="81"/>
            <rFont val="Tahoma"/>
            <family val="2"/>
          </rPr>
          <t>Note:</t>
        </r>
        <r>
          <rPr>
            <sz val="9"/>
            <color indexed="81"/>
            <rFont val="Tahoma"/>
            <family val="2"/>
          </rPr>
          <t xml:space="preserve">
Before printing the form, check the following:
        1.  If items are highlighted in green, yellow, or orange, the form is not complete.  Provide the required information.</t>
        </r>
      </text>
    </comment>
  </commentList>
</comments>
</file>

<file path=xl/sharedStrings.xml><?xml version="1.0" encoding="utf-8"?>
<sst xmlns="http://schemas.openxmlformats.org/spreadsheetml/2006/main" count="1618" uniqueCount="538">
  <si>
    <t>Development Information</t>
  </si>
  <si>
    <t>Name:</t>
  </si>
  <si>
    <t>Proposed Impervious Area (PIA)</t>
  </si>
  <si>
    <t>Pre-Development</t>
  </si>
  <si>
    <t>Curve Number:</t>
  </si>
  <si>
    <t>(WQ)</t>
  </si>
  <si>
    <t>(2-yr)</t>
  </si>
  <si>
    <t>(5-yr)</t>
  </si>
  <si>
    <t>(10-yr)</t>
  </si>
  <si>
    <t>(25-yr)</t>
  </si>
  <si>
    <t>(100-yr)</t>
  </si>
  <si>
    <t>Post-Development</t>
  </si>
  <si>
    <t>Post Total</t>
  </si>
  <si>
    <t>Pre Total</t>
  </si>
  <si>
    <t>Emergency Spillway</t>
  </si>
  <si>
    <t>Outfall Location</t>
  </si>
  <si>
    <t>Pond Stage-Area-Storage Summary</t>
  </si>
  <si>
    <t>Elevation</t>
  </si>
  <si>
    <t>Area</t>
  </si>
  <si>
    <t>Professional Engineer Certification</t>
  </si>
  <si>
    <t>Address:</t>
  </si>
  <si>
    <t>Date:</t>
  </si>
  <si>
    <t>Approval Status:</t>
  </si>
  <si>
    <t>Comments:</t>
  </si>
  <si>
    <t>Material</t>
  </si>
  <si>
    <t>Concrete</t>
  </si>
  <si>
    <t>Metal</t>
  </si>
  <si>
    <t>HDPP</t>
  </si>
  <si>
    <t>PVC</t>
  </si>
  <si>
    <t>HDPE</t>
  </si>
  <si>
    <t>Material:</t>
  </si>
  <si>
    <t>Other</t>
  </si>
  <si>
    <t>Select</t>
  </si>
  <si>
    <t>Shape:</t>
  </si>
  <si>
    <t>Shape</t>
  </si>
  <si>
    <t>BMP ID:</t>
  </si>
  <si>
    <t>Existing Impervious Area (EIA):</t>
  </si>
  <si>
    <t>acres</t>
  </si>
  <si>
    <r>
      <t>Water Quality Volume (WQ</t>
    </r>
    <r>
      <rPr>
        <vertAlign val="subscript"/>
        <sz val="10"/>
        <color theme="1"/>
        <rFont val="Calibri"/>
        <family val="2"/>
      </rPr>
      <t>v</t>
    </r>
    <r>
      <rPr>
        <sz val="10"/>
        <color theme="1"/>
        <rFont val="Calibri"/>
        <family val="2"/>
        <scheme val="minor"/>
      </rPr>
      <t>):</t>
    </r>
  </si>
  <si>
    <r>
      <t>ft</t>
    </r>
    <r>
      <rPr>
        <vertAlign val="superscript"/>
        <sz val="8"/>
        <color theme="1"/>
        <rFont val="Calibri"/>
        <family val="2"/>
      </rPr>
      <t>3</t>
    </r>
  </si>
  <si>
    <r>
      <t>WQ</t>
    </r>
    <r>
      <rPr>
        <vertAlign val="subscript"/>
        <sz val="10"/>
        <color theme="1"/>
        <rFont val="Calibri"/>
        <family val="2"/>
      </rPr>
      <t>v</t>
    </r>
    <r>
      <rPr>
        <sz val="10"/>
        <color theme="1"/>
        <rFont val="Calibri"/>
        <family val="2"/>
        <scheme val="minor"/>
      </rPr>
      <t xml:space="preserve"> = </t>
    </r>
  </si>
  <si>
    <r>
      <t>ft</t>
    </r>
    <r>
      <rPr>
        <vertAlign val="superscript"/>
        <sz val="10"/>
        <color theme="1"/>
        <rFont val="Calibri"/>
        <family val="2"/>
      </rPr>
      <t>2</t>
    </r>
  </si>
  <si>
    <t>Width:</t>
  </si>
  <si>
    <t>Inv. EL</t>
  </si>
  <si>
    <t>in</t>
  </si>
  <si>
    <t>ft</t>
  </si>
  <si>
    <t>Length:</t>
  </si>
  <si>
    <t>Top EL.:</t>
  </si>
  <si>
    <t>Crest EL.:</t>
  </si>
  <si>
    <t>Latitude:</t>
  </si>
  <si>
    <t>Longitude:</t>
  </si>
  <si>
    <t>Basin ID:</t>
  </si>
  <si>
    <t>Total Area:</t>
  </si>
  <si>
    <t>Cumulative Vol.</t>
  </si>
  <si>
    <r>
      <t>WQ</t>
    </r>
    <r>
      <rPr>
        <vertAlign val="subscript"/>
        <sz val="15"/>
        <color theme="1"/>
        <rFont val="Calibri"/>
        <family val="2"/>
      </rPr>
      <t>v</t>
    </r>
    <r>
      <rPr>
        <sz val="10"/>
        <color theme="1"/>
        <rFont val="Calibri"/>
        <family val="2"/>
        <scheme val="minor"/>
      </rPr>
      <t xml:space="preserve"> Required:</t>
    </r>
  </si>
  <si>
    <r>
      <t>WQ</t>
    </r>
    <r>
      <rPr>
        <vertAlign val="subscript"/>
        <sz val="15"/>
        <color theme="1"/>
        <rFont val="Calibri"/>
        <family val="2"/>
      </rPr>
      <t>v</t>
    </r>
    <r>
      <rPr>
        <sz val="10"/>
        <color theme="1"/>
        <rFont val="Calibri"/>
        <family val="2"/>
        <scheme val="minor"/>
      </rPr>
      <t xml:space="preserve"> Provided:</t>
    </r>
  </si>
  <si>
    <t>Width</t>
  </si>
  <si>
    <t>Time of Concentration (min):</t>
  </si>
  <si>
    <t>Additional Impervious Area (AIA) = PIA - EIA</t>
  </si>
  <si>
    <t>AIA =</t>
  </si>
  <si>
    <t>Design</t>
  </si>
  <si>
    <t>As-Built</t>
  </si>
  <si>
    <t>Water Quality Volume (WQv)</t>
  </si>
  <si>
    <t>WQv Required:</t>
  </si>
  <si>
    <t>WQv Provided:</t>
  </si>
  <si>
    <t>Reviewed:</t>
  </si>
  <si>
    <r>
      <t>Pre Q
(ft</t>
    </r>
    <r>
      <rPr>
        <vertAlign val="superscript"/>
        <sz val="8"/>
        <color theme="1"/>
        <rFont val="Calibri"/>
        <family val="2"/>
      </rPr>
      <t>3</t>
    </r>
    <r>
      <rPr>
        <sz val="10"/>
        <color theme="1"/>
        <rFont val="Calibri"/>
        <family val="2"/>
        <scheme val="minor"/>
      </rPr>
      <t>/s)</t>
    </r>
  </si>
  <si>
    <t>Max Stage
(ft)</t>
  </si>
  <si>
    <r>
      <t>Total Post 
Q (ft</t>
    </r>
    <r>
      <rPr>
        <vertAlign val="superscript"/>
        <sz val="8"/>
        <color theme="1"/>
        <rFont val="Calibri"/>
        <family val="2"/>
      </rPr>
      <t>3</t>
    </r>
    <r>
      <rPr>
        <sz val="10"/>
        <color theme="1"/>
        <rFont val="Calibri"/>
        <family val="2"/>
        <scheme val="minor"/>
      </rPr>
      <t>/s)</t>
    </r>
  </si>
  <si>
    <t>Type</t>
  </si>
  <si>
    <t>Enter data as applicable for the proposed design.</t>
  </si>
  <si>
    <t>General Instructions</t>
  </si>
  <si>
    <t>If a field is highlighted yellow after a number is entered, the yellow highlight may indicate an error and/or concern.  Once the error and/or concern is resolved, the yellow highlight will be removed.  All yellow highlighted cells shall be resolved or an explanitation provided prior to completing the form.</t>
  </si>
  <si>
    <t>Field Types</t>
  </si>
  <si>
    <t>Supplemental Instructions</t>
  </si>
  <si>
    <t>Use the drop down list to select a shape.</t>
  </si>
  <si>
    <t>Riprap</t>
  </si>
  <si>
    <t>Earthen</t>
  </si>
  <si>
    <t>Geotextile</t>
  </si>
  <si>
    <t>Total Post Q &gt; Pre Q</t>
  </si>
  <si>
    <t>Max Stage</t>
  </si>
  <si>
    <t>Total Post</t>
  </si>
  <si>
    <t>Post Total not completed</t>
  </si>
  <si>
    <t>Length</t>
  </si>
  <si>
    <t>Crest</t>
  </si>
  <si>
    <t>Top</t>
  </si>
  <si>
    <t>E. Spillway</t>
  </si>
  <si>
    <t>Design Response</t>
  </si>
  <si>
    <t>Emergency Spillway Section not completed</t>
  </si>
  <si>
    <t>Pre Total not compeleted</t>
  </si>
  <si>
    <t>Max Stage:</t>
  </si>
  <si>
    <t>Automated Review Checks</t>
  </si>
  <si>
    <t>Form Section</t>
  </si>
  <si>
    <t>Pre-Development:</t>
  </si>
  <si>
    <t>Post-Development:</t>
  </si>
  <si>
    <t>Emergency Spillway:</t>
  </si>
  <si>
    <t>Pond Discharge Summary:</t>
  </si>
  <si>
    <t>Total Post Q:</t>
  </si>
  <si>
    <t>Photographs, at a minimum, shall include the following:</t>
  </si>
  <si>
    <t>The developer / owner shall retain the services of a professional land surveyor to:</t>
  </si>
  <si>
    <t>Develop an as-built drawing.</t>
  </si>
  <si>
    <t>a.</t>
  </si>
  <si>
    <t>b.</t>
  </si>
  <si>
    <t>The developer shall retain the services of a professional engineer to:</t>
  </si>
  <si>
    <t>Photographs</t>
  </si>
  <si>
    <t>Storm sewers showing pipes, inlets, junction boxes, outlets, outlet protection, and invert elevations</t>
  </si>
  <si>
    <t>Outlet structure showing multi-stage riser, orifices, weirs, outlet pipe, and WQ filter</t>
  </si>
  <si>
    <t>Outlet pipe discharge location and outlet protection</t>
  </si>
  <si>
    <t>Emergency spillway and discharge location</t>
  </si>
  <si>
    <t>Prior to approval of the Final Plat.</t>
  </si>
  <si>
    <t>Provide ALL required attachments:</t>
  </si>
  <si>
    <t>As-built survey, at a minimum, shall include the following:</t>
  </si>
  <si>
    <t>The issuance of a Certificate of Occupancy; and/or,</t>
  </si>
  <si>
    <t>e.</t>
  </si>
  <si>
    <t>c.</t>
  </si>
  <si>
    <t>d.</t>
  </si>
  <si>
    <t>•</t>
  </si>
  <si>
    <t>Outfall Location:</t>
  </si>
  <si>
    <t>Latitude and/or Longitude not provided</t>
  </si>
  <si>
    <t>Max Stage for 2, 5, 10, and/or 25-year storm  &gt; Emergency Spillway Crest Elevation</t>
  </si>
  <si>
    <t xml:space="preserve">This is a calculated field.  Once the required information is entered, the orange highlight will be removed. </t>
  </si>
  <si>
    <t>Use the drop down list to select a material.</t>
  </si>
  <si>
    <t>Pond Top EL.:</t>
  </si>
  <si>
    <t>Review Status</t>
  </si>
  <si>
    <t>General design standards and requirements shall be as follows:</t>
  </si>
  <si>
    <t xml:space="preserve"> As-built Survey</t>
  </si>
  <si>
    <t xml:space="preserve"> As-built H&amp;H Calculations</t>
  </si>
  <si>
    <t xml:space="preserve"> O&amp;M Agreement</t>
  </si>
  <si>
    <t>Attachments:</t>
  </si>
  <si>
    <t xml:space="preserve"> Photos</t>
  </si>
  <si>
    <t xml:space="preserve"> Yes</t>
  </si>
  <si>
    <t xml:space="preserve"> No</t>
  </si>
  <si>
    <t xml:space="preserve"> Approved</t>
  </si>
  <si>
    <t xml:space="preserve"> Approved Contingent</t>
  </si>
  <si>
    <t xml:space="preserve"> Denied</t>
  </si>
  <si>
    <t xml:space="preserve"> Incomplete</t>
  </si>
  <si>
    <r>
      <t>Pre Q
(ft</t>
    </r>
    <r>
      <rPr>
        <vertAlign val="superscript"/>
        <sz val="9"/>
        <color theme="1"/>
        <rFont val="Calibri"/>
        <family val="2"/>
      </rPr>
      <t>3</t>
    </r>
    <r>
      <rPr>
        <sz val="9"/>
        <color theme="1"/>
        <rFont val="Calibri"/>
        <family val="2"/>
        <scheme val="minor"/>
      </rPr>
      <t>/s)</t>
    </r>
  </si>
  <si>
    <r>
      <t>Pond In Q
(ft</t>
    </r>
    <r>
      <rPr>
        <vertAlign val="superscript"/>
        <sz val="9"/>
        <color theme="1"/>
        <rFont val="Calibri"/>
        <family val="2"/>
      </rPr>
      <t>3</t>
    </r>
    <r>
      <rPr>
        <sz val="9"/>
        <color theme="1"/>
        <rFont val="Calibri"/>
        <family val="2"/>
        <scheme val="minor"/>
      </rPr>
      <t>/s)</t>
    </r>
  </si>
  <si>
    <r>
      <t>Pond Out 
Q (ft</t>
    </r>
    <r>
      <rPr>
        <vertAlign val="superscript"/>
        <sz val="9"/>
        <color theme="1"/>
        <rFont val="Calibri"/>
        <family val="2"/>
      </rPr>
      <t>3</t>
    </r>
    <r>
      <rPr>
        <sz val="9"/>
        <color theme="1"/>
        <rFont val="Calibri"/>
        <family val="2"/>
        <scheme val="minor"/>
      </rPr>
      <t>/s)</t>
    </r>
  </si>
  <si>
    <r>
      <t>Total Post 
Q (ft</t>
    </r>
    <r>
      <rPr>
        <vertAlign val="superscript"/>
        <sz val="9"/>
        <color theme="1"/>
        <rFont val="Calibri"/>
        <family val="2"/>
      </rPr>
      <t>3</t>
    </r>
    <r>
      <rPr>
        <sz val="9"/>
        <color theme="1"/>
        <rFont val="Calibri"/>
        <family val="2"/>
        <scheme val="minor"/>
      </rPr>
      <t>/s)</t>
    </r>
  </si>
  <si>
    <t xml:space="preserve"> Design Drawings</t>
  </si>
  <si>
    <t xml:space="preserve"> H&amp;H Calculations</t>
  </si>
  <si>
    <t xml:space="preserve"> Drainage Basin Maps</t>
  </si>
  <si>
    <t>Drainage Area (acre):</t>
  </si>
  <si>
    <t>Owner's Information</t>
  </si>
  <si>
    <t xml:space="preserve"> Not Applicable</t>
  </si>
  <si>
    <t xml:space="preserve">Name: </t>
  </si>
  <si>
    <t xml:space="preserve">Address: </t>
  </si>
  <si>
    <t xml:space="preserve">Email: </t>
  </si>
  <si>
    <t xml:space="preserve">HOA Name: </t>
  </si>
  <si>
    <t xml:space="preserve">State: </t>
  </si>
  <si>
    <t xml:space="preserve">Zip Code: </t>
  </si>
  <si>
    <t xml:space="preserve">Phone: </t>
  </si>
  <si>
    <t xml:space="preserve">Title: </t>
  </si>
  <si>
    <t xml:space="preserve">Detail Attached: </t>
  </si>
  <si>
    <t>No</t>
  </si>
  <si>
    <t>Lat</t>
  </si>
  <si>
    <t>Long</t>
  </si>
  <si>
    <t>Lat &amp; Long</t>
  </si>
  <si>
    <r>
      <t>WQ</t>
    </r>
    <r>
      <rPr>
        <vertAlign val="subscript"/>
        <sz val="10"/>
        <color theme="1"/>
        <rFont val="Calibri"/>
        <family val="2"/>
        <scheme val="minor"/>
      </rPr>
      <t>v</t>
    </r>
    <r>
      <rPr>
        <sz val="10"/>
        <color theme="1"/>
        <rFont val="Calibri"/>
        <family val="2"/>
        <scheme val="minor"/>
      </rPr>
      <t>:</t>
    </r>
  </si>
  <si>
    <r>
      <t>WQ</t>
    </r>
    <r>
      <rPr>
        <vertAlign val="subscript"/>
        <sz val="11"/>
        <color theme="1"/>
        <rFont val="Calibri"/>
        <family val="2"/>
        <scheme val="minor"/>
      </rPr>
      <t>v</t>
    </r>
    <r>
      <rPr>
        <sz val="11"/>
        <color theme="1"/>
        <rFont val="Calibri"/>
        <family val="2"/>
        <scheme val="minor"/>
      </rPr>
      <t xml:space="preserve"> Required &gt; WQ</t>
    </r>
    <r>
      <rPr>
        <vertAlign val="subscript"/>
        <sz val="11"/>
        <color theme="1"/>
        <rFont val="Calibri"/>
        <family val="2"/>
        <scheme val="minor"/>
      </rPr>
      <t>v</t>
    </r>
    <r>
      <rPr>
        <sz val="11"/>
        <color theme="1"/>
        <rFont val="Calibri"/>
        <family val="2"/>
        <scheme val="minor"/>
      </rPr>
      <t xml:space="preserve"> Provided</t>
    </r>
  </si>
  <si>
    <t>WQv</t>
  </si>
  <si>
    <t>Pre Q</t>
  </si>
  <si>
    <t>Pond In Q</t>
  </si>
  <si>
    <t>As-Built does not match Design</t>
  </si>
  <si>
    <t>Pre Q:</t>
  </si>
  <si>
    <t>Pond In Q:</t>
  </si>
  <si>
    <t>Montgomery</t>
  </si>
  <si>
    <t>Hoover</t>
  </si>
  <si>
    <t>Prattville</t>
  </si>
  <si>
    <t>Mobile</t>
  </si>
  <si>
    <t xml:space="preserve">Select City: </t>
  </si>
  <si>
    <t xml:space="preserve">Trash Rack: </t>
  </si>
  <si>
    <t>NA</t>
  </si>
  <si>
    <t xml:space="preserve">Bottom EL: </t>
  </si>
  <si>
    <t>Yes</t>
  </si>
  <si>
    <t xml:space="preserve">WQv Orifice: </t>
  </si>
  <si>
    <t xml:space="preserve">Outlet Pipe: </t>
  </si>
  <si>
    <t xml:space="preserve">Bottom EL.: </t>
  </si>
  <si>
    <t xml:space="preserve">Width: </t>
  </si>
  <si>
    <t xml:space="preserve">Diameter: </t>
  </si>
  <si>
    <t xml:space="preserve">Material: </t>
  </si>
  <si>
    <t xml:space="preserve">Shape: </t>
  </si>
  <si>
    <t xml:space="preserve">Length: </t>
  </si>
  <si>
    <t xml:space="preserve">Top EL.: </t>
  </si>
  <si>
    <t>Round</t>
  </si>
  <si>
    <t>Rectangle</t>
  </si>
  <si>
    <t>Trapezoid</t>
  </si>
  <si>
    <t>Square</t>
  </si>
  <si>
    <t xml:space="preserve"> Photographs</t>
  </si>
  <si>
    <t xml:space="preserve"> Maintenance Summary</t>
  </si>
  <si>
    <t>Development Information:</t>
  </si>
  <si>
    <t xml:space="preserve">Date: </t>
  </si>
  <si>
    <t xml:space="preserve">BMP ID: </t>
  </si>
  <si>
    <t xml:space="preserve">Latitude: </t>
  </si>
  <si>
    <t xml:space="preserve">Longitude: </t>
  </si>
  <si>
    <t xml:space="preserve">Contact: </t>
  </si>
  <si>
    <t>Maintenance Summary</t>
  </si>
  <si>
    <t>Inspection Observations</t>
  </si>
  <si>
    <t>Follow-up Actions</t>
  </si>
  <si>
    <t xml:space="preserve"> No follow-up actions are required</t>
  </si>
  <si>
    <t>Maintenance Needed</t>
  </si>
  <si>
    <t xml:space="preserve"> Repair</t>
  </si>
  <si>
    <t xml:space="preserve"> bags</t>
  </si>
  <si>
    <t xml:space="preserve"> tons</t>
  </si>
  <si>
    <t xml:space="preserve"> cy</t>
  </si>
  <si>
    <t xml:space="preserve">Company: </t>
  </si>
  <si>
    <t xml:space="preserve">Signature: </t>
  </si>
  <si>
    <t xml:space="preserve"> Remove sediment</t>
  </si>
  <si>
    <t xml:space="preserve">Comments: </t>
  </si>
  <si>
    <t xml:space="preserve">Select: </t>
  </si>
  <si>
    <t xml:space="preserve">Orifice: </t>
  </si>
  <si>
    <t xml:space="preserve">Crest EL: </t>
  </si>
  <si>
    <t xml:space="preserve">Attachments: </t>
  </si>
  <si>
    <t xml:space="preserve">Buildings / Structures: </t>
  </si>
  <si>
    <t xml:space="preserve">Driveways / Sidewalks: </t>
  </si>
  <si>
    <t xml:space="preserve">Roads: </t>
  </si>
  <si>
    <t xml:space="preserve">Parking: </t>
  </si>
  <si>
    <t xml:space="preserve">Other: </t>
  </si>
  <si>
    <t xml:space="preserve">Total PIA: </t>
  </si>
  <si>
    <t>Select either "Yes" or "No" by placing an "X" in the appropriate box.  Once an "X" is entered, the green highlight will be removed.</t>
  </si>
  <si>
    <t>Automated Review Checks:  Once information and data are entered into the form, the form will check the information entered and identify any potential issues or concerns.  Prior to printing the form, all automated comments shall be resolved.</t>
  </si>
  <si>
    <t>Automated Comments</t>
  </si>
  <si>
    <t>Form 3C - Underground Detention
As-Built Certification Form</t>
  </si>
  <si>
    <r>
      <t xml:space="preserve">Form 4C - Underground Detention
</t>
    </r>
    <r>
      <rPr>
        <b/>
        <sz val="16"/>
        <color theme="1"/>
        <rFont val="Calibri"/>
        <family val="2"/>
        <scheme val="minor"/>
      </rPr>
      <t>Annual Inspection Form</t>
    </r>
  </si>
  <si>
    <t xml:space="preserve"> Soils Data</t>
  </si>
  <si>
    <t xml:space="preserve"> Manufacturer Data</t>
  </si>
  <si>
    <t xml:space="preserve"> Maintenance Plan</t>
  </si>
  <si>
    <t>Underground Detention</t>
  </si>
  <si>
    <t xml:space="preserve">Detention Type: </t>
  </si>
  <si>
    <t xml:space="preserve">Hydrologic Soil Group: </t>
  </si>
  <si>
    <t xml:space="preserve"> Detention w/ Infiltration</t>
  </si>
  <si>
    <t xml:space="preserve"> A</t>
  </si>
  <si>
    <t xml:space="preserve"> B</t>
  </si>
  <si>
    <t xml:space="preserve"> C</t>
  </si>
  <si>
    <t xml:space="preserve"> D</t>
  </si>
  <si>
    <t xml:space="preserve">Water Table Depth: </t>
  </si>
  <si>
    <t xml:space="preserve">Saturated Hydraulic Conductivity: </t>
  </si>
  <si>
    <t xml:space="preserve"> Field Test Performed? </t>
  </si>
  <si>
    <t>in/hr</t>
  </si>
  <si>
    <t xml:space="preserve"> Pipe System:</t>
  </si>
  <si>
    <t xml:space="preserve">Height: </t>
  </si>
  <si>
    <t xml:space="preserve">Inv EL: </t>
  </si>
  <si>
    <t xml:space="preserve"> Manufactured System:</t>
  </si>
  <si>
    <t xml:space="preserve"> Detention</t>
  </si>
  <si>
    <t xml:space="preserve"> ADS</t>
  </si>
  <si>
    <t xml:space="preserve"> Contech</t>
  </si>
  <si>
    <t xml:space="preserve"> Other:</t>
  </si>
  <si>
    <t xml:space="preserve">Type: </t>
  </si>
  <si>
    <r>
      <t>ft</t>
    </r>
    <r>
      <rPr>
        <vertAlign val="superscript"/>
        <sz val="10"/>
        <color theme="1"/>
        <rFont val="Calibri"/>
        <family val="2"/>
        <scheme val="minor"/>
      </rPr>
      <t>3</t>
    </r>
  </si>
  <si>
    <t xml:space="preserve">Installed Volume: </t>
  </si>
  <si>
    <t xml:space="preserve">Pretreatment: </t>
  </si>
  <si>
    <t xml:space="preserve">Inlet Filters: </t>
  </si>
  <si>
    <t xml:space="preserve">Stone Base: </t>
  </si>
  <si>
    <t xml:space="preserve">Chamber Height: </t>
  </si>
  <si>
    <t xml:space="preserve">Stone Above Chamber: </t>
  </si>
  <si>
    <t xml:space="preserve">Compacted Backfill: </t>
  </si>
  <si>
    <t xml:space="preserve">Finished Grade: </t>
  </si>
  <si>
    <t>Depth</t>
  </si>
  <si>
    <t>Bottom EL</t>
  </si>
  <si>
    <t>Top EL</t>
  </si>
  <si>
    <t xml:space="preserve">Isolator Row Manhole: </t>
  </si>
  <si>
    <t>No. Rows</t>
  </si>
  <si>
    <t>ea</t>
  </si>
  <si>
    <t>Diameter</t>
  </si>
  <si>
    <t xml:space="preserve"> Underdrain Pipe(s)</t>
  </si>
  <si>
    <t>Inspection Port(s)</t>
  </si>
  <si>
    <t xml:space="preserve"> System Layout</t>
  </si>
  <si>
    <t xml:space="preserve"> System Cross Section</t>
  </si>
  <si>
    <t xml:space="preserve"> Chamber Specs</t>
  </si>
  <si>
    <t xml:space="preserve">No. Ports: </t>
  </si>
  <si>
    <t>Isolator</t>
  </si>
  <si>
    <t>Chamber</t>
  </si>
  <si>
    <t>Discharge Summary</t>
  </si>
  <si>
    <r>
      <t>In Q
(ft</t>
    </r>
    <r>
      <rPr>
        <vertAlign val="superscript"/>
        <sz val="8"/>
        <color theme="1"/>
        <rFont val="Calibri"/>
        <family val="2"/>
      </rPr>
      <t>3</t>
    </r>
    <r>
      <rPr>
        <sz val="10"/>
        <color theme="1"/>
        <rFont val="Calibri"/>
        <family val="2"/>
        <scheme val="minor"/>
      </rPr>
      <t>/s)</t>
    </r>
  </si>
  <si>
    <r>
      <t>Out Q 
(ft</t>
    </r>
    <r>
      <rPr>
        <vertAlign val="superscript"/>
        <sz val="8"/>
        <color theme="1"/>
        <rFont val="Calibri"/>
        <family val="2"/>
      </rPr>
      <t>3</t>
    </r>
    <r>
      <rPr>
        <sz val="10"/>
        <color theme="1"/>
        <rFont val="Calibri"/>
        <family val="2"/>
        <scheme val="minor"/>
      </rPr>
      <t>/s)</t>
    </r>
  </si>
  <si>
    <t>ES Tot</t>
  </si>
  <si>
    <t>Underground Detention Stage-Area-Storage Summary</t>
  </si>
  <si>
    <t xml:space="preserve">No. Rows: </t>
  </si>
  <si>
    <t xml:space="preserve">Inv. EL: </t>
  </si>
  <si>
    <t>Perform a field survey of the constructed underground detention system; and,</t>
  </si>
  <si>
    <t>Discharge Summary:</t>
  </si>
  <si>
    <r>
      <t>In Q
(ft</t>
    </r>
    <r>
      <rPr>
        <vertAlign val="superscript"/>
        <sz val="9"/>
        <color theme="1"/>
        <rFont val="Calibri"/>
        <family val="2"/>
      </rPr>
      <t>3</t>
    </r>
    <r>
      <rPr>
        <sz val="9"/>
        <color theme="1"/>
        <rFont val="Calibri"/>
        <family val="2"/>
        <scheme val="minor"/>
      </rPr>
      <t>/s)</t>
    </r>
  </si>
  <si>
    <r>
      <t>Out Q 
(ft</t>
    </r>
    <r>
      <rPr>
        <vertAlign val="superscript"/>
        <sz val="9"/>
        <color theme="1"/>
        <rFont val="Calibri"/>
        <family val="2"/>
      </rPr>
      <t>3</t>
    </r>
    <r>
      <rPr>
        <sz val="9"/>
        <color theme="1"/>
        <rFont val="Calibri"/>
        <family val="2"/>
        <scheme val="minor"/>
      </rPr>
      <t>/s)</t>
    </r>
  </si>
  <si>
    <t>This is a required field.  Place an "X" in the appropriate box and the green highlight will be removed.  In some cases, the selection is optional.  Once an option is completed, additional fields will be highlighted green and in some fields the green highlight will be removed.</t>
  </si>
  <si>
    <t>Once the Design, As-built, or Inspection Forms are completed, there should be no green, yellow, or orange highlighted fields.</t>
  </si>
  <si>
    <t>The Supplemental Instructions provide additional guidance and design standards.</t>
  </si>
  <si>
    <t>If the underground detention system cotinues to function as it was originally designed; and,</t>
  </si>
  <si>
    <t>Inspect the underground detention system to determine:</t>
  </si>
  <si>
    <t>General overview of the underground detention system</t>
  </si>
  <si>
    <t>Location where the underground detention system discharges into receiving stream, culvert, or channel</t>
  </si>
  <si>
    <t>Revision Date:</t>
  </si>
  <si>
    <t>Emerg. Spillway</t>
  </si>
  <si>
    <t>Page 1 of 3</t>
  </si>
  <si>
    <t>Page 3 of 3</t>
  </si>
  <si>
    <t>Page 2 of 3</t>
  </si>
  <si>
    <t>Jefferson</t>
  </si>
  <si>
    <t>Velocity
(ft/s)</t>
  </si>
  <si>
    <t>Velocity:</t>
  </si>
  <si>
    <t>Registration</t>
  </si>
  <si>
    <t>Acronym</t>
  </si>
  <si>
    <t>Certified Erosion, Sediment and Stormwater Inspector</t>
  </si>
  <si>
    <t xml:space="preserve">CESSWI No.: </t>
  </si>
  <si>
    <t>Certified Professional in Erosion and Sediment Control</t>
  </si>
  <si>
    <t xml:space="preserve">CPESC No.: </t>
  </si>
  <si>
    <t>Certified Professional in Municipal Stormwater Management</t>
  </si>
  <si>
    <t xml:space="preserve">CPMSM No.: </t>
  </si>
  <si>
    <t>Certified Professional in Stormwater Quality</t>
  </si>
  <si>
    <t xml:space="preserve">CPSWQ No.: </t>
  </si>
  <si>
    <t>Professional Engineer</t>
  </si>
  <si>
    <t xml:space="preserve">PE No.: </t>
  </si>
  <si>
    <t>Qualified Credentialed Inspector</t>
  </si>
  <si>
    <t xml:space="preserve">QCI No.: </t>
  </si>
  <si>
    <t>Effective Date:</t>
  </si>
  <si>
    <t>1 February 2020</t>
  </si>
  <si>
    <t>1 October 2020</t>
  </si>
  <si>
    <t>1 October 2015</t>
  </si>
  <si>
    <t>1 July 2018</t>
  </si>
  <si>
    <t>Type:</t>
  </si>
  <si>
    <t>City</t>
  </si>
  <si>
    <t>County</t>
  </si>
  <si>
    <t>Maintenance Agreement:</t>
  </si>
  <si>
    <t xml:space="preserve"> Covenant</t>
  </si>
  <si>
    <t>Entity Type:</t>
  </si>
  <si>
    <t>Provides the required water quality volume (WQv);</t>
  </si>
  <si>
    <t xml:space="preserve">Post-development runoff mimics pre-development hydrology to the maximum extent practicable (MEP). </t>
  </si>
  <si>
    <t>By affixing my professional seal and signature on this form, I hereby certify that the underground detention system:</t>
  </si>
  <si>
    <t>Velocity</t>
  </si>
  <si>
    <t>By affixing my professional seal and signature on this form, I hereby certify that the underground detention system has been constructed in accordance with the approved design.  I further certify that the drainage areas shown in the approved hydrology and hydraulic (H&amp;H) calculations do in fact drain into the underground detention system and that the post-development runoff mimics pre-development hydrology to the maximum extent practicable (MEP).</t>
  </si>
  <si>
    <t xml:space="preserve"> As-Built Survey Drawing(s)</t>
  </si>
  <si>
    <t>Professional Registration:</t>
  </si>
  <si>
    <t>Registration Number:</t>
  </si>
  <si>
    <t>The developer/owner shall retain the services of a registered professional to:</t>
  </si>
  <si>
    <t>Requires the above described maintenance in order to function as it was designed.  Upon completion of the required maintenance activities, I shall reinspect the underground detention system and provide a supplemental Annual Inspection Form.</t>
  </si>
  <si>
    <t>By affixing my signature on this form, I hereby certify that the underground detention system:</t>
  </si>
  <si>
    <t>Registered Professional Certification</t>
  </si>
  <si>
    <t>Printing the form may require some adjustments to the print settings for the printer being used.</t>
  </si>
  <si>
    <t>Home Owners Association (HOA) Information</t>
  </si>
  <si>
    <t>The calculation methodology shall utilize the National Resource Conservation Resources (NRCS)</t>
  </si>
  <si>
    <t>Urban Hydrology for Small Watersheds Technical Release 55 (TR-55) or equivalent as approved</t>
  </si>
  <si>
    <t>All applicable developments shall be responsible for ensuring that post-development hydrology mimics</t>
  </si>
  <si>
    <t>will not adversely impact and/or cause flooding of structures within the development;</t>
  </si>
  <si>
    <t>Filtration system for the WQv Orifice shall allow the volume of stormwater associated with the WQv</t>
  </si>
  <si>
    <t>areas, proposed drainage areas, time of concentration, curve number, pre-development peak</t>
  </si>
  <si>
    <t>discharges, post-development peak discharges, outlet structure geometry, emergency spillway</t>
  </si>
  <si>
    <t>geometry, pond stage-area-storage summary, pond discharge summary, inflow and outflow</t>
  </si>
  <si>
    <t>hydrographs, and outlet pipe velocities.</t>
  </si>
  <si>
    <t>the development;</t>
  </si>
  <si>
    <t>Drainage areas shown in the hydrology and hydraulic (H&amp;H) calculations drain into the underground detention</t>
  </si>
  <si>
    <t>system; and,</t>
  </si>
  <si>
    <t xml:space="preserve">Site features to include but not limited to roads, rights-of-way, property lines, driveways, buildings, </t>
  </si>
  <si>
    <t>parking areas, fences, retaining walls, dumpster pads, etc.</t>
  </si>
  <si>
    <t>emergency spillway, and outlet protection</t>
  </si>
  <si>
    <t>Detail of the outlet structure showing elevations and dimensions of multi-stage riser, orifices, weirs,</t>
  </si>
  <si>
    <t>outlet pipe, WQ filter, etc.</t>
  </si>
  <si>
    <t>Use the as-built survey data to complete Form 3C – Underground Detention Pond As-built</t>
  </si>
  <si>
    <t>Certification Form;</t>
  </si>
  <si>
    <t>If an inspection is needed by a professional engineer.</t>
  </si>
  <si>
    <t>If any maintenance is required; or,</t>
  </si>
  <si>
    <t>Inspection Form when all maintenance activities have been completed.</t>
  </si>
  <si>
    <t>A registered professional shall include:</t>
  </si>
  <si>
    <t>CESSWI - Certified Erosion, Sediment, and Stormwater Inspector</t>
  </si>
  <si>
    <t>CPESC - Certified Professional in Erosion and Sediment Control</t>
  </si>
  <si>
    <t>CPMSM - Certified Professional in Municipal Stormwater Management</t>
  </si>
  <si>
    <t>CPSWQ - Certified Professional in Stormwater Quality</t>
  </si>
  <si>
    <t>PE - Professional Engineer</t>
  </si>
  <si>
    <t>QCI - Qualified Credentialed Inspector</t>
  </si>
  <si>
    <t>Current Logo</t>
  </si>
  <si>
    <t>This is a required field.  Once a number or text is entered, the green highlight will be removed.</t>
  </si>
  <si>
    <t xml:space="preserve">None: </t>
  </si>
  <si>
    <t>Elevation:</t>
  </si>
  <si>
    <t>Max Elev.
(ft)</t>
  </si>
  <si>
    <t>City:</t>
  </si>
  <si>
    <t>Comments?</t>
  </si>
  <si>
    <t>Permit Type:</t>
  </si>
  <si>
    <t>Max Velocity:</t>
  </si>
  <si>
    <t>Lookup Table</t>
  </si>
  <si>
    <t>Engineering or Building No.</t>
  </si>
  <si>
    <t>V-notch</t>
  </si>
  <si>
    <t>Dia./Width/Deg</t>
  </si>
  <si>
    <t>Height</t>
  </si>
  <si>
    <t>Max Velocity</t>
  </si>
  <si>
    <t>Freeboard  &lt;  1.0 ft</t>
  </si>
  <si>
    <t>Emergency Spillway Freeboard:</t>
  </si>
  <si>
    <t>Post &lt; 0.5</t>
  </si>
  <si>
    <t>Complete Design Form with the required design information.  Once the Design Form is completed, most of the Design section of the As-built Form will be prepopulated.</t>
  </si>
  <si>
    <t>Use the drop down list to select an orifice or weir.</t>
  </si>
  <si>
    <t>Will not adversely impact and/or cause flooding of structures within the development and downstream of</t>
  </si>
  <si>
    <t>Requires a more detailed follow-up inspection by a professional engineer.</t>
  </si>
  <si>
    <t xml:space="preserve">Weir: </t>
  </si>
  <si>
    <t>Rainfall depths were obtained from NOAA Atlas 14, Volume 9, Version 2.</t>
  </si>
  <si>
    <t>Isolator Row Manhole(s)</t>
  </si>
  <si>
    <t>Outlet Control Structure</t>
  </si>
  <si>
    <t xml:space="preserve"> Detention </t>
  </si>
  <si>
    <t xml:space="preserve">ID: </t>
  </si>
  <si>
    <t xml:space="preserve">Litter / debris? </t>
  </si>
  <si>
    <t xml:space="preserve">Sediment? </t>
  </si>
  <si>
    <t xml:space="preserve">Standing water? </t>
  </si>
  <si>
    <t xml:space="preserve">Damaged? </t>
  </si>
  <si>
    <t>Isolator Row Manhole:</t>
  </si>
  <si>
    <t xml:space="preserve"> NA</t>
  </si>
  <si>
    <t xml:space="preserve">Litter/Debris? </t>
  </si>
  <si>
    <t xml:space="preserve">Standing Water? </t>
  </si>
  <si>
    <t xml:space="preserve">WQ Orifice: </t>
  </si>
  <si>
    <t>Outlet Control Structure:</t>
  </si>
  <si>
    <t xml:space="preserve">Staged Orifice: </t>
  </si>
  <si>
    <t xml:space="preserve">Weirs: </t>
  </si>
  <si>
    <t>Page 5 of 5</t>
  </si>
  <si>
    <t>Page 4 of 5</t>
  </si>
  <si>
    <t>Page 3 of 5</t>
  </si>
  <si>
    <t>Page 2 of 5</t>
  </si>
  <si>
    <t>Page 1 of 5</t>
  </si>
  <si>
    <t>No. Taken</t>
  </si>
  <si>
    <t>Date</t>
  </si>
  <si>
    <t>General Overview</t>
  </si>
  <si>
    <t>Outfall</t>
  </si>
  <si>
    <t>Isolator Row Manhole</t>
  </si>
  <si>
    <t xml:space="preserve">Suspect illicit discharge present? </t>
  </si>
  <si>
    <t>Suspect illicit discharge type?</t>
  </si>
  <si>
    <t>Outfall:</t>
  </si>
  <si>
    <t xml:space="preserve">Discharges to: </t>
  </si>
  <si>
    <t xml:space="preserve">Damage type? </t>
  </si>
  <si>
    <t xml:space="preserve"> Maintenance is required</t>
  </si>
  <si>
    <t>Staged Orifices</t>
  </si>
  <si>
    <t>Weirs</t>
  </si>
  <si>
    <t xml:space="preserve"> Remove litter / trash</t>
  </si>
  <si>
    <t xml:space="preserve"> Report suspect illicit discharge</t>
  </si>
  <si>
    <t>Underground Detention System</t>
  </si>
  <si>
    <t xml:space="preserve">Outfall Comments: </t>
  </si>
  <si>
    <t xml:space="preserve">System Comments: </t>
  </si>
  <si>
    <t xml:space="preserve">Underground Detention  </t>
  </si>
  <si>
    <t xml:space="preserve">City: </t>
  </si>
  <si>
    <t xml:space="preserve">Contact Name: </t>
  </si>
  <si>
    <t xml:space="preserve">Seal: </t>
  </si>
  <si>
    <t xml:space="preserve"> Cultec</t>
  </si>
  <si>
    <t>Inspection Manholes / Port(s):</t>
  </si>
  <si>
    <t xml:space="preserve">  NA</t>
  </si>
  <si>
    <t xml:space="preserve">  Prinsco</t>
  </si>
  <si>
    <t>Inspection Manholes(s)</t>
  </si>
  <si>
    <t xml:space="preserve">No. : Manholes: </t>
  </si>
  <si>
    <t>Total Volume</t>
  </si>
  <si>
    <t>Total Length</t>
  </si>
  <si>
    <t xml:space="preserve">Isolator Rows: </t>
  </si>
  <si>
    <t xml:space="preserve">Chamber Rows: </t>
  </si>
  <si>
    <t xml:space="preserve">Total Installed System Volume: </t>
  </si>
  <si>
    <t>ENG No.</t>
  </si>
  <si>
    <t xml:space="preserve">Total Stone Volume: </t>
  </si>
  <si>
    <t xml:space="preserve">Total Length: </t>
  </si>
  <si>
    <t xml:space="preserve">Total Volume: </t>
  </si>
  <si>
    <t xml:space="preserve">No. Manholes: </t>
  </si>
  <si>
    <t>Location of the underground detention components, contours, spot elevations, outlet structure, outlet pipe,</t>
  </si>
  <si>
    <t>f.</t>
  </si>
  <si>
    <t>g.</t>
  </si>
  <si>
    <t>Underground detention system components during construciton</t>
  </si>
  <si>
    <t>Caption identifying the location and/or description of the photograph</t>
  </si>
  <si>
    <t xml:space="preserve">Insp Report Due: </t>
  </si>
  <si>
    <t>30 Septbember</t>
  </si>
  <si>
    <t>1 September</t>
  </si>
  <si>
    <t>Installation of and underground detention system shall not adversely impact and/or cause flooding</t>
  </si>
  <si>
    <t>of properties located within, upstream, and/or downstream of the development;</t>
  </si>
  <si>
    <t>A stormwater pathway (i.e. piped storm sewer, overland flow, etc.) within the development shall</t>
  </si>
  <si>
    <t>be provided to convey the discharge resulting from a 100-year, 24-hour storm event in a manner that</t>
  </si>
  <si>
    <t>to drain slowly from the underground detention system within a 48-hour period;</t>
  </si>
  <si>
    <t>The principal spillway for an underground detention system shall be sized to convey the 100-year,</t>
  </si>
  <si>
    <t>24-hour storm event;</t>
  </si>
  <si>
    <t>H&amp;H studies for the underground detention system shall include model network, existing drainage</t>
  </si>
  <si>
    <t xml:space="preserve">WQ Filter: </t>
  </si>
  <si>
    <t>Photographs taken during construction</t>
  </si>
  <si>
    <t>Inspection ports</t>
  </si>
  <si>
    <t>Isolator row manhole</t>
  </si>
  <si>
    <t>Outlet control structure</t>
  </si>
  <si>
    <t>Outfall to receiving stream / storm sewer</t>
  </si>
  <si>
    <t>Caption and/or description on all photographs</t>
  </si>
  <si>
    <t>Manifold, isolator row, chamber rows</t>
  </si>
  <si>
    <t>Complete Form 4C - Underground Detention Annual Inspection Form;</t>
  </si>
  <si>
    <t>Insp Report Due:</t>
  </si>
  <si>
    <t>If maintenance is required to ensure that the underground detention system continues to function as it was</t>
  </si>
  <si>
    <t>originally designed, the developer / owner shall submit an updated Form 4C – Underground Detention Annual</t>
  </si>
  <si>
    <t>Outlet control structure showing multi-stage riser, orifices, weirs, outlet pipe, and WQ filter</t>
  </si>
  <si>
    <t>Inspection Manholes / Ports</t>
  </si>
  <si>
    <t>An underground detentions system shall not be located within a floodplain or floodway;</t>
  </si>
  <si>
    <t>Arch</t>
  </si>
  <si>
    <t>Elliptical</t>
  </si>
  <si>
    <t>(50-yr)</t>
  </si>
  <si>
    <t>Storm:</t>
  </si>
  <si>
    <t>Storms:</t>
  </si>
  <si>
    <t>2, 5, 10, 25, 50, and 100</t>
  </si>
  <si>
    <t>2, 5, 10, and 25</t>
  </si>
  <si>
    <r>
      <t>Total Post Q is &lt; -0.50 ft</t>
    </r>
    <r>
      <rPr>
        <vertAlign val="superscript"/>
        <sz val="10.8"/>
        <color theme="1"/>
        <rFont val="Calibri"/>
        <family val="2"/>
      </rPr>
      <t>3</t>
    </r>
    <r>
      <rPr>
        <sz val="11"/>
        <color theme="1"/>
        <rFont val="Calibri"/>
        <family val="2"/>
        <scheme val="minor"/>
      </rPr>
      <t>/s of Pre Q</t>
    </r>
  </si>
  <si>
    <t>The Master Plan shall include the following information:</t>
  </si>
  <si>
    <t>Property boundaries</t>
  </si>
  <si>
    <t>Conceptual lot layout by use type (i.e. residential, commercial, open space, etc.)</t>
  </si>
  <si>
    <t>Proposed roads</t>
  </si>
  <si>
    <t xml:space="preserve"> Master Plan</t>
  </si>
  <si>
    <t xml:space="preserve">Select Development Type: </t>
  </si>
  <si>
    <t xml:space="preserve"> Residential</t>
  </si>
  <si>
    <t xml:space="preserve">Number of Phases: </t>
  </si>
  <si>
    <t xml:space="preserve"> Final Plat</t>
  </si>
  <si>
    <t xml:space="preserve"> Commercial</t>
  </si>
  <si>
    <t xml:space="preserve">Number of Lots: </t>
  </si>
  <si>
    <t>Will all Phases or Lots be a member of the association?</t>
  </si>
  <si>
    <t xml:space="preserve">Select Units: </t>
  </si>
  <si>
    <t xml:space="preserve"> ac</t>
  </si>
  <si>
    <t xml:space="preserve"> sq-ft</t>
  </si>
  <si>
    <t>Imp. Area</t>
  </si>
  <si>
    <t xml:space="preserve">   Discharges to Pond?</t>
  </si>
  <si>
    <t>Pond</t>
  </si>
  <si>
    <t>%</t>
  </si>
  <si>
    <t xml:space="preserve">Total: </t>
  </si>
  <si>
    <t>Page 1 of 2</t>
  </si>
  <si>
    <t>Page 2 of 2</t>
  </si>
  <si>
    <t>Form 2C.1 - Underground Detention
Design Form</t>
  </si>
  <si>
    <t>Form 2C.2 - Underground Detention
Design Form Attachment</t>
  </si>
  <si>
    <t>By affixing my professional seal and signature on this form, I hereby certify that the proposed underground detention system</t>
  </si>
  <si>
    <t>was designed to accommodate the Phases and/or Lots included in this attachment.</t>
  </si>
  <si>
    <t>Location of underground detention system</t>
  </si>
  <si>
    <t>Slope</t>
  </si>
  <si>
    <r>
      <t>Peak Discharge (ft</t>
    </r>
    <r>
      <rPr>
        <vertAlign val="superscript"/>
        <sz val="8"/>
        <color theme="1"/>
        <rFont val="Calibri"/>
        <family val="2"/>
      </rPr>
      <t>3</t>
    </r>
    <r>
      <rPr>
        <sz val="10"/>
        <color theme="1"/>
        <rFont val="Calibri"/>
        <family val="2"/>
        <scheme val="minor"/>
      </rPr>
      <t>/s)</t>
    </r>
  </si>
  <si>
    <t xml:space="preserve">Mass Grading? </t>
  </si>
  <si>
    <t xml:space="preserve">Structural fill? </t>
  </si>
  <si>
    <t>Has mass grading and/or structural fill altered post-development soil conditions?</t>
  </si>
  <si>
    <t>Will the underground detenton system be maintained by an assocation?</t>
  </si>
  <si>
    <t>Is the underground detention system located on a separate lot?</t>
  </si>
  <si>
    <t>Part of a regional stormwater management stratgey - Attach Form 2A.2</t>
  </si>
  <si>
    <t>Underground detention system is not located on a separate / individual lot</t>
  </si>
  <si>
    <t>Is this detention pond located on a separate / individual  lot?</t>
  </si>
  <si>
    <t>Is this detention pond part of a regional stormwater management strategy?</t>
  </si>
  <si>
    <t>Form 2A.2 is attached?</t>
  </si>
  <si>
    <t>Location:</t>
  </si>
  <si>
    <t>Regional Stratgey:</t>
  </si>
  <si>
    <t>ID</t>
  </si>
  <si>
    <t>Sump Depth</t>
  </si>
  <si>
    <t xml:space="preserve">No. of Isolator Row Manholes: </t>
  </si>
  <si>
    <t xml:space="preserve">Manifold Pipe? </t>
  </si>
  <si>
    <t xml:space="preserve"> System Layout (cont)</t>
  </si>
  <si>
    <t>----------  Manifold  ----------</t>
  </si>
  <si>
    <t>No. IRM</t>
  </si>
  <si>
    <t>An example components of a manufactured system is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</si>
</sst>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409]d\-mmm\-yy;@"/>
    <numFmt numFmtId="165" formatCode="0.000000"/>
    <numFmt numFmtId="166" formatCode="0."/>
    <numFmt numFmtId="167" formatCode="#,##0.000000"/>
    <numFmt numFmtId="168" formatCode="[$-409]d\ mmmm\ yyyy;@"/>
    <numFmt numFmtId="169" formatCode="[$-409]dd\ mmmm\ yyyy;@"/>
    <numFmt numFmtId="170" formatCode="[&lt;=9999999]###\-####;\(###\)\ ###\-####"/>
    <numFmt numFmtId="171" formatCode="\-0.000000"/>
    <numFmt numFmtId="172" formatCode="[$-409]mmmm\ d\,\ yyyy;@"/>
    <numFmt numFmtId="173" formatCode="\-#,##0.000000"/>
    <numFmt numFmtId="174" formatCode="#,##0.000"/>
    <numFmt numFmtId="175" formatCode="0.0"/>
    <numFmt numFmtId="176" formatCode="0.0%"/>
  </numFmts>
  <fonts count="32" x14ac:knownFonts="1">
    <font>
      <sz val="11"/>
      <color theme="1"/>
      <name val="Calibri"/>
      <family val="2"/>
      <scheme val="minor"/>
    </font>
    <font>
      <b/>
      <u/>
      <sz val="12"/>
      <color theme="1"/>
      <name val="Calibri"/>
      <family val="2"/>
      <scheme val="minor"/>
    </font>
    <font>
      <b/>
      <sz val="18"/>
      <color theme="1"/>
      <name val="Calibri"/>
      <family val="2"/>
      <scheme val="minor"/>
    </font>
    <font>
      <sz val="10"/>
      <color theme="1"/>
      <name val="Calibri"/>
      <family val="2"/>
      <scheme val="minor"/>
    </font>
    <font>
      <vertAlign val="subscript"/>
      <sz val="10"/>
      <color theme="1"/>
      <name val="Calibri"/>
      <family val="2"/>
    </font>
    <font>
      <b/>
      <sz val="10"/>
      <color theme="1"/>
      <name val="Calibri"/>
      <family val="2"/>
      <scheme val="minor"/>
    </font>
    <font>
      <vertAlign val="superscript"/>
      <sz val="10"/>
      <color theme="1"/>
      <name val="Calibri"/>
      <family val="2"/>
    </font>
    <font>
      <vertAlign val="superscript"/>
      <sz val="8"/>
      <color theme="1"/>
      <name val="Calibri"/>
      <family val="2"/>
    </font>
    <font>
      <u/>
      <sz val="10"/>
      <color theme="1"/>
      <name val="Calibri"/>
      <family val="2"/>
      <scheme val="minor"/>
    </font>
    <font>
      <b/>
      <sz val="12"/>
      <color theme="1"/>
      <name val="Calibri"/>
      <family val="2"/>
      <scheme val="minor"/>
    </font>
    <font>
      <vertAlign val="subscript"/>
      <sz val="15"/>
      <color theme="1"/>
      <name val="Calibri"/>
      <family val="2"/>
    </font>
    <font>
      <u/>
      <sz val="11"/>
      <color theme="10"/>
      <name val="Calibri"/>
      <family val="2"/>
      <scheme val="minor"/>
    </font>
    <font>
      <b/>
      <u/>
      <sz val="10"/>
      <color theme="1"/>
      <name val="Calibri"/>
      <family val="2"/>
      <scheme val="minor"/>
    </font>
    <font>
      <vertAlign val="subscript"/>
      <sz val="11"/>
      <color theme="1"/>
      <name val="Calibri"/>
      <family val="2"/>
      <scheme val="minor"/>
    </font>
    <font>
      <b/>
      <u/>
      <sz val="16"/>
      <color theme="1"/>
      <name val="Calibri"/>
      <family val="2"/>
      <scheme val="minor"/>
    </font>
    <font>
      <sz val="12"/>
      <color theme="1"/>
      <name val="Calibri"/>
      <family val="2"/>
      <scheme val="minor"/>
    </font>
    <font>
      <u/>
      <sz val="12"/>
      <color theme="1"/>
      <name val="Calibri"/>
      <family val="2"/>
      <scheme val="minor"/>
    </font>
    <font>
      <sz val="11"/>
      <color theme="1"/>
      <name val="Calibri"/>
      <family val="2"/>
    </font>
    <font>
      <sz val="9"/>
      <color theme="1"/>
      <name val="Calibri"/>
      <family val="2"/>
      <scheme val="minor"/>
    </font>
    <font>
      <vertAlign val="superscript"/>
      <sz val="9"/>
      <color theme="1"/>
      <name val="Calibri"/>
      <family val="2"/>
    </font>
    <font>
      <vertAlign val="subscript"/>
      <sz val="10"/>
      <color theme="1"/>
      <name val="Calibri"/>
      <family val="2"/>
      <scheme val="minor"/>
    </font>
    <font>
      <b/>
      <sz val="16"/>
      <color theme="1"/>
      <name val="Calibri"/>
      <family val="2"/>
      <scheme val="minor"/>
    </font>
    <font>
      <sz val="14"/>
      <color theme="1"/>
      <name val="Calibri"/>
      <family val="2"/>
      <scheme val="minor"/>
    </font>
    <font>
      <vertAlign val="superscript"/>
      <sz val="10"/>
      <color theme="1"/>
      <name val="Calibri"/>
      <family val="2"/>
      <scheme val="minor"/>
    </font>
    <font>
      <sz val="8"/>
      <name val="Calibri"/>
      <family val="2"/>
      <scheme val="minor"/>
    </font>
    <font>
      <sz val="10"/>
      <color theme="1"/>
      <name val="Calibri"/>
      <family val="2"/>
    </font>
    <font>
      <sz val="9"/>
      <color indexed="81"/>
      <name val="Tahoma"/>
      <family val="2"/>
    </font>
    <font>
      <b/>
      <sz val="9"/>
      <color indexed="81"/>
      <name val="Tahoma"/>
      <family val="2"/>
    </font>
    <font>
      <vertAlign val="superscript"/>
      <sz val="10.8"/>
      <color theme="1"/>
      <name val="Calibri"/>
      <family val="2"/>
    </font>
    <font>
      <b/>
      <sz val="11"/>
      <color theme="1"/>
      <name val="Calibri"/>
      <family val="2"/>
      <scheme val="minor"/>
    </font>
    <font>
      <u/>
      <sz val="10"/>
      <color theme="10"/>
      <name val="Calibri"/>
      <family val="2"/>
      <scheme val="minor"/>
    </font>
    <font>
      <sz val="11"/>
      <color theme="1"/>
      <name val="Calibri"/>
      <family val="2"/>
      <scheme val="minor"/>
    </font>
  </fonts>
  <fills count="10">
    <fill>
      <patternFill patternType="none"/>
    </fill>
    <fill>
      <patternFill patternType="gray125"/>
    </fill>
    <fill>
      <patternFill patternType="solid">
        <fgColor theme="7" tint="0.59996337778862885"/>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rgb="FFFFFFCC"/>
        <bgColor indexed="64"/>
      </patternFill>
    </fill>
    <fill>
      <patternFill patternType="solid">
        <fgColor theme="2" tint="-9.9948118533890809E-2"/>
        <bgColor indexed="64"/>
      </patternFill>
    </fill>
    <fill>
      <patternFill patternType="solid">
        <fgColor theme="4" tint="0.79998168889431442"/>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s>
  <cellStyleXfs count="3">
    <xf numFmtId="0" fontId="0" fillId="0" borderId="0"/>
    <xf numFmtId="0" fontId="11" fillId="0" borderId="0" applyNumberFormat="0" applyFill="0" applyBorder="0" applyAlignment="0" applyProtection="0"/>
    <xf numFmtId="9" fontId="31" fillId="0" borderId="0" applyFont="0" applyFill="0" applyBorder="0" applyAlignment="0" applyProtection="0"/>
  </cellStyleXfs>
  <cellXfs count="283">
    <xf numFmtId="0" fontId="0" fillId="0" borderId="0" xfId="0"/>
    <xf numFmtId="0" fontId="1"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wrapText="1"/>
    </xf>
    <xf numFmtId="0" fontId="3" fillId="0" borderId="0" xfId="0" applyFont="1" applyAlignment="1">
      <alignment horizontal="center" vertical="center"/>
    </xf>
    <xf numFmtId="0" fontId="9" fillId="0" borderId="0" xfId="0" applyFont="1" applyAlignment="1">
      <alignment vertical="center"/>
    </xf>
    <xf numFmtId="4"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4" borderId="0" xfId="0" applyFont="1" applyFill="1" applyAlignment="1">
      <alignment vertical="center"/>
    </xf>
    <xf numFmtId="0" fontId="3" fillId="4" borderId="0" xfId="0" applyFont="1" applyFill="1" applyAlignment="1">
      <alignment horizontal="right" vertical="center"/>
    </xf>
    <xf numFmtId="2" fontId="3" fillId="0" borderId="0" xfId="0" applyNumberFormat="1" applyFont="1" applyAlignment="1" applyProtection="1">
      <alignment horizontal="right" vertical="center"/>
      <protection hidden="1"/>
    </xf>
    <xf numFmtId="2" fontId="3" fillId="0" borderId="0" xfId="0" applyNumberFormat="1" applyFont="1" applyAlignment="1" applyProtection="1">
      <alignment vertical="center"/>
      <protection hidden="1"/>
    </xf>
    <xf numFmtId="0" fontId="3" fillId="3" borderId="0" xfId="0" applyFont="1" applyFill="1" applyAlignment="1">
      <alignmen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6" borderId="0" xfId="0" applyFont="1" applyFill="1" applyAlignment="1">
      <alignment vertical="center"/>
    </xf>
    <xf numFmtId="166" fontId="15" fillId="0" borderId="0" xfId="0" applyNumberFormat="1" applyFont="1" applyAlignment="1">
      <alignment horizontal="center" vertical="center"/>
    </xf>
    <xf numFmtId="0" fontId="15" fillId="0" borderId="0" xfId="0" applyFont="1" applyAlignment="1">
      <alignment vertical="center"/>
    </xf>
    <xf numFmtId="0" fontId="15" fillId="0" borderId="1" xfId="0" applyFont="1" applyBorder="1" applyAlignment="1">
      <alignment horizontal="center" vertical="center"/>
    </xf>
    <xf numFmtId="4" fontId="15" fillId="0" borderId="1" xfId="0" applyNumberFormat="1" applyFont="1" applyBorder="1" applyAlignment="1">
      <alignment vertical="center"/>
    </xf>
    <xf numFmtId="0" fontId="16" fillId="2" borderId="1" xfId="0" applyFont="1" applyFill="1" applyBorder="1" applyAlignment="1">
      <alignment vertical="center"/>
    </xf>
    <xf numFmtId="0" fontId="15" fillId="5" borderId="1" xfId="0" applyFont="1" applyFill="1" applyBorder="1" applyAlignment="1">
      <alignment vertical="center"/>
    </xf>
    <xf numFmtId="0" fontId="9" fillId="0" borderId="0" xfId="0" applyFont="1" applyAlignment="1">
      <alignment horizontal="left" vertical="center"/>
    </xf>
    <xf numFmtId="0" fontId="3" fillId="0" borderId="13" xfId="0" applyFont="1" applyBorder="1" applyAlignment="1">
      <alignment horizontal="center" vertical="center"/>
    </xf>
    <xf numFmtId="0" fontId="3" fillId="6" borderId="0" xfId="0" applyFont="1" applyFill="1" applyAlignment="1">
      <alignment horizontal="center" vertical="center"/>
    </xf>
    <xf numFmtId="166" fontId="3"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right" vertical="center" wrapText="1"/>
    </xf>
    <xf numFmtId="0" fontId="3" fillId="3" borderId="5" xfId="0" applyFont="1" applyFill="1" applyBorder="1" applyAlignment="1">
      <alignment vertical="center"/>
    </xf>
    <xf numFmtId="0" fontId="1" fillId="3" borderId="3"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horizontal="right" vertical="center"/>
    </xf>
    <xf numFmtId="0" fontId="3" fillId="3" borderId="8" xfId="0" applyFont="1" applyFill="1" applyBorder="1" applyAlignment="1">
      <alignment vertical="center"/>
    </xf>
    <xf numFmtId="0" fontId="3" fillId="3" borderId="13" xfId="0" applyFont="1" applyFill="1" applyBorder="1" applyAlignment="1">
      <alignment vertical="center"/>
    </xf>
    <xf numFmtId="166" fontId="0" fillId="0" borderId="0" xfId="0" applyNumberFormat="1" applyAlignment="1">
      <alignment horizontal="center" vertical="center"/>
    </xf>
    <xf numFmtId="0" fontId="0" fillId="0" borderId="0" xfId="0"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0" xfId="0" applyFont="1" applyAlignment="1">
      <alignment vertical="center"/>
    </xf>
    <xf numFmtId="0" fontId="17" fillId="0" borderId="0" xfId="0" applyFont="1" applyAlignment="1">
      <alignment horizontal="center" vertical="center"/>
    </xf>
    <xf numFmtId="0" fontId="3" fillId="0" borderId="11" xfId="0" applyFont="1" applyBorder="1" applyAlignment="1">
      <alignment vertical="center"/>
    </xf>
    <xf numFmtId="0" fontId="0" fillId="0" borderId="0" xfId="0" applyAlignment="1">
      <alignment wrapText="1"/>
    </xf>
    <xf numFmtId="2" fontId="3" fillId="0" borderId="0" xfId="0" applyNumberFormat="1" applyFont="1" applyAlignment="1">
      <alignment horizontal="right" vertical="center"/>
    </xf>
    <xf numFmtId="2" fontId="3" fillId="0" borderId="0" xfId="0" applyNumberFormat="1" applyFont="1" applyAlignment="1">
      <alignment vertical="center"/>
    </xf>
    <xf numFmtId="0" fontId="3" fillId="0" borderId="0" xfId="0" applyFont="1" applyAlignment="1">
      <alignment horizontal="right"/>
    </xf>
    <xf numFmtId="0" fontId="12" fillId="0" borderId="0" xfId="0" applyFont="1" applyAlignment="1">
      <alignment vertical="center"/>
    </xf>
    <xf numFmtId="165" fontId="3" fillId="0" borderId="0" xfId="0" applyNumberFormat="1" applyFont="1" applyAlignment="1">
      <alignment vertical="center"/>
    </xf>
    <xf numFmtId="3" fontId="3" fillId="0" borderId="0" xfId="0" applyNumberFormat="1" applyFont="1" applyAlignment="1">
      <alignment vertical="center"/>
    </xf>
    <xf numFmtId="166" fontId="9" fillId="0" borderId="0" xfId="0" applyNumberFormat="1" applyFont="1" applyAlignment="1">
      <alignment horizontal="center" vertical="center"/>
    </xf>
    <xf numFmtId="4" fontId="3" fillId="0" borderId="0" xfId="0" applyNumberFormat="1" applyFont="1" applyAlignment="1">
      <alignment vertical="center"/>
    </xf>
    <xf numFmtId="0" fontId="3" fillId="0" borderId="0" xfId="0" applyFont="1" applyAlignment="1">
      <alignment horizontal="right" vertical="center" indent="1"/>
    </xf>
    <xf numFmtId="3" fontId="3" fillId="0" borderId="0" xfId="0" applyNumberFormat="1" applyFont="1" applyAlignment="1">
      <alignment horizontal="right" vertical="center"/>
    </xf>
    <xf numFmtId="0" fontId="18" fillId="0" borderId="0" xfId="0" applyFont="1" applyAlignment="1">
      <alignment horizontal="center" vertical="center" wrapText="1"/>
    </xf>
    <xf numFmtId="0" fontId="11" fillId="0" borderId="0" xfId="1" applyBorder="1" applyAlignment="1" applyProtection="1">
      <alignment horizontal="left" vertical="center"/>
    </xf>
    <xf numFmtId="0" fontId="5" fillId="4" borderId="5" xfId="0" applyFont="1" applyFill="1" applyBorder="1" applyAlignment="1">
      <alignment vertical="center"/>
    </xf>
    <xf numFmtId="0" fontId="3" fillId="4" borderId="3" xfId="0" applyFont="1" applyFill="1" applyBorder="1" applyAlignment="1">
      <alignmen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12" fillId="4" borderId="0" xfId="0" applyFont="1" applyFill="1" applyAlignment="1">
      <alignment horizontal="right" vertical="center"/>
    </xf>
    <xf numFmtId="0" fontId="12" fillId="4" borderId="0" xfId="0" applyFont="1" applyFill="1" applyAlignment="1">
      <alignmen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right" vertical="center"/>
    </xf>
    <xf numFmtId="0" fontId="3" fillId="4" borderId="10" xfId="0" applyFont="1" applyFill="1" applyBorder="1" applyAlignment="1">
      <alignment vertical="center"/>
    </xf>
    <xf numFmtId="166" fontId="14" fillId="0" borderId="0" xfId="0" applyNumberFormat="1" applyFont="1" applyAlignment="1">
      <alignment vertical="center"/>
    </xf>
    <xf numFmtId="0" fontId="3" fillId="6" borderId="0" xfId="0" applyFont="1" applyFill="1" applyAlignment="1">
      <alignment horizontal="left" vertical="center"/>
    </xf>
    <xf numFmtId="0" fontId="9" fillId="6" borderId="0" xfId="0" applyFont="1" applyFill="1" applyAlignment="1">
      <alignment horizontal="left" vertical="center"/>
    </xf>
    <xf numFmtId="0" fontId="9" fillId="6" borderId="0" xfId="0" applyFont="1" applyFill="1" applyAlignment="1">
      <alignment vertical="center"/>
    </xf>
    <xf numFmtId="0" fontId="15" fillId="0" borderId="0" xfId="0" applyFont="1" applyAlignment="1">
      <alignment horizontal="left" vertical="center" wrapText="1"/>
    </xf>
    <xf numFmtId="0" fontId="15" fillId="0" borderId="0" xfId="0" applyFont="1" applyAlignment="1">
      <alignment vertical="center" wrapText="1"/>
    </xf>
    <xf numFmtId="0" fontId="3" fillId="3" borderId="1" xfId="0" applyFont="1" applyFill="1" applyBorder="1" applyAlignment="1">
      <alignment vertical="center"/>
    </xf>
    <xf numFmtId="0" fontId="3" fillId="0" borderId="0" xfId="0" applyFont="1" applyAlignment="1">
      <alignment vertical="top" wrapText="1"/>
    </xf>
    <xf numFmtId="0" fontId="8" fillId="3" borderId="1" xfId="0" applyFont="1" applyFill="1" applyBorder="1" applyAlignment="1">
      <alignment vertical="center"/>
    </xf>
    <xf numFmtId="0" fontId="1" fillId="0" borderId="0" xfId="0" applyFont="1" applyAlignment="1">
      <alignment horizontal="left" vertical="center"/>
    </xf>
    <xf numFmtId="0" fontId="15" fillId="0" borderId="13" xfId="0" applyFont="1" applyBorder="1" applyAlignment="1" applyProtection="1">
      <alignment horizontal="center" vertical="center"/>
      <protection locked="0"/>
    </xf>
    <xf numFmtId="0" fontId="5" fillId="4" borderId="3" xfId="0" applyFont="1" applyFill="1" applyBorder="1" applyAlignment="1">
      <alignment vertical="center"/>
    </xf>
    <xf numFmtId="165" fontId="3" fillId="0" borderId="0" xfId="0" applyNumberFormat="1" applyFont="1" applyAlignment="1" applyProtection="1">
      <alignment vertical="center"/>
      <protection hidden="1"/>
    </xf>
    <xf numFmtId="0" fontId="3" fillId="3" borderId="1" xfId="0" applyFont="1" applyFill="1" applyBorder="1" applyAlignment="1">
      <alignment horizontal="right" vertical="center"/>
    </xf>
    <xf numFmtId="0" fontId="1" fillId="0" borderId="12" xfId="0" applyFont="1" applyBorder="1" applyAlignment="1">
      <alignment vertical="center"/>
    </xf>
    <xf numFmtId="0" fontId="3" fillId="0" borderId="11" xfId="0" applyFont="1" applyBorder="1" applyAlignment="1">
      <alignment horizontal="right" vertical="center"/>
    </xf>
    <xf numFmtId="0" fontId="14" fillId="0" borderId="0" xfId="0" applyFont="1" applyAlignment="1">
      <alignment vertical="center"/>
    </xf>
    <xf numFmtId="0" fontId="0" fillId="0" borderId="0" xfId="0" applyAlignment="1">
      <alignment vertical="top"/>
    </xf>
    <xf numFmtId="0" fontId="3" fillId="0" borderId="3" xfId="0" applyFont="1" applyBorder="1" applyAlignment="1">
      <alignment vertical="center"/>
    </xf>
    <xf numFmtId="0" fontId="11" fillId="0" borderId="0" xfId="1" applyBorder="1" applyAlignment="1" applyProtection="1">
      <alignment vertical="center"/>
    </xf>
    <xf numFmtId="0" fontId="8" fillId="3" borderId="0" xfId="0" applyFont="1" applyFill="1" applyAlignment="1">
      <alignment vertical="center"/>
    </xf>
    <xf numFmtId="0" fontId="2" fillId="6" borderId="0" xfId="0" applyFont="1" applyFill="1" applyAlignment="1">
      <alignment vertical="center" wrapText="1"/>
    </xf>
    <xf numFmtId="0" fontId="2" fillId="0" borderId="0" xfId="0" applyFont="1" applyAlignment="1">
      <alignment vertical="center"/>
    </xf>
    <xf numFmtId="0" fontId="3" fillId="3" borderId="13" xfId="0" applyFont="1" applyFill="1" applyBorder="1" applyAlignment="1">
      <alignment horizontal="center" vertical="center"/>
    </xf>
    <xf numFmtId="0" fontId="3" fillId="6" borderId="0" xfId="0" applyFont="1" applyFill="1" applyAlignment="1">
      <alignment horizontal="right" vertical="center"/>
    </xf>
    <xf numFmtId="0" fontId="1" fillId="6" borderId="0" xfId="0" applyFont="1" applyFill="1" applyAlignment="1">
      <alignment vertical="center"/>
    </xf>
    <xf numFmtId="0" fontId="3" fillId="8" borderId="0" xfId="0" applyFont="1" applyFill="1" applyAlignment="1">
      <alignment vertical="center"/>
    </xf>
    <xf numFmtId="1" fontId="3" fillId="0" borderId="0" xfId="0" applyNumberFormat="1" applyFont="1" applyAlignment="1">
      <alignment vertical="center"/>
    </xf>
    <xf numFmtId="166" fontId="0" fillId="0" borderId="0" xfId="0" applyNumberFormat="1" applyAlignment="1">
      <alignment horizontal="left" vertical="center"/>
    </xf>
    <xf numFmtId="0" fontId="0" fillId="0" borderId="0" xfId="0" applyAlignment="1">
      <alignment vertical="center" wrapText="1"/>
    </xf>
    <xf numFmtId="0" fontId="3" fillId="0" borderId="0" xfId="0" applyFont="1"/>
    <xf numFmtId="0" fontId="3" fillId="6" borderId="0" xfId="0" applyFont="1" applyFill="1"/>
    <xf numFmtId="1" fontId="3" fillId="6" borderId="0" xfId="0" applyNumberFormat="1" applyFont="1" applyFill="1" applyAlignment="1">
      <alignment vertical="center"/>
    </xf>
    <xf numFmtId="3" fontId="3" fillId="0" borderId="3" xfId="0" applyNumberFormat="1" applyFont="1" applyBorder="1" applyAlignment="1">
      <alignment horizontal="right" vertical="center"/>
    </xf>
    <xf numFmtId="0" fontId="3" fillId="0" borderId="0" xfId="0" applyFont="1" applyAlignment="1">
      <alignment horizontal="center" vertical="center" wrapText="1"/>
    </xf>
    <xf numFmtId="0" fontId="3" fillId="0" borderId="2" xfId="0" applyFont="1" applyBorder="1" applyAlignment="1">
      <alignment horizontal="right" vertical="center"/>
    </xf>
    <xf numFmtId="0" fontId="5" fillId="0" borderId="0" xfId="0" applyFont="1" applyAlignment="1">
      <alignment vertical="center"/>
    </xf>
    <xf numFmtId="0" fontId="8" fillId="0" borderId="0" xfId="0" applyFont="1" applyAlignment="1">
      <alignment vertical="center"/>
    </xf>
    <xf numFmtId="0" fontId="22" fillId="3" borderId="13" xfId="0" applyFont="1" applyFill="1" applyBorder="1" applyAlignment="1">
      <alignment horizontal="center" vertical="center"/>
    </xf>
    <xf numFmtId="0" fontId="3" fillId="0" borderId="12" xfId="0" applyFont="1" applyBorder="1" applyAlignment="1">
      <alignment vertical="center"/>
    </xf>
    <xf numFmtId="166" fontId="0" fillId="0" borderId="0" xfId="0" applyNumberFormat="1" applyAlignment="1">
      <alignment horizontal="center" vertical="top"/>
    </xf>
    <xf numFmtId="0" fontId="3" fillId="0" borderId="0" xfId="0" applyFont="1" applyAlignment="1">
      <alignment vertical="top"/>
    </xf>
    <xf numFmtId="0" fontId="3" fillId="6" borderId="0" xfId="0" applyFont="1" applyFill="1" applyAlignment="1">
      <alignment vertical="top"/>
    </xf>
    <xf numFmtId="0" fontId="0" fillId="0" borderId="0" xfId="0" applyAlignment="1">
      <alignment horizontal="right" vertical="center"/>
    </xf>
    <xf numFmtId="0" fontId="3" fillId="0" borderId="1" xfId="0" applyFont="1" applyBorder="1" applyAlignment="1">
      <alignment vertical="center"/>
    </xf>
    <xf numFmtId="0" fontId="0" fillId="0" borderId="0" xfId="0" applyAlignment="1">
      <alignment horizontal="center"/>
    </xf>
    <xf numFmtId="2" fontId="0" fillId="0" borderId="0" xfId="0" applyNumberFormat="1"/>
    <xf numFmtId="2" fontId="0" fillId="0" borderId="0" xfId="0" applyNumberFormat="1" applyAlignment="1">
      <alignment vertical="center"/>
    </xf>
    <xf numFmtId="0" fontId="0" fillId="0" borderId="0" xfId="0" applyAlignment="1">
      <alignment horizontal="right"/>
    </xf>
    <xf numFmtId="0" fontId="0" fillId="7" borderId="14" xfId="0" applyFill="1" applyBorder="1"/>
    <xf numFmtId="169" fontId="0" fillId="0" borderId="0" xfId="0" quotePrefix="1" applyNumberFormat="1"/>
    <xf numFmtId="169" fontId="0" fillId="0" borderId="0" xfId="0" applyNumberFormat="1"/>
    <xf numFmtId="0" fontId="3" fillId="0" borderId="0" xfId="0" applyFont="1" applyAlignment="1">
      <alignment vertical="center" wrapText="1"/>
    </xf>
    <xf numFmtId="0" fontId="3" fillId="0" borderId="0" xfId="0" applyFont="1" applyAlignment="1">
      <alignment horizontal="left" vertical="top"/>
    </xf>
    <xf numFmtId="168" fontId="18" fillId="0" borderId="0" xfId="0" applyNumberFormat="1" applyFont="1" applyAlignment="1">
      <alignment horizontal="left" vertical="center"/>
    </xf>
    <xf numFmtId="168" fontId="0" fillId="7" borderId="14" xfId="0" applyNumberFormat="1" applyFill="1" applyBorder="1"/>
    <xf numFmtId="166" fontId="0" fillId="0" borderId="0" xfId="0" applyNumberFormat="1" applyAlignment="1">
      <alignment vertical="top"/>
    </xf>
    <xf numFmtId="0" fontId="25" fillId="0" borderId="0" xfId="0" applyFont="1" applyAlignment="1">
      <alignment horizontal="center" vertical="center"/>
    </xf>
    <xf numFmtId="166" fontId="3" fillId="0" borderId="0" xfId="0" applyNumberFormat="1" applyFont="1" applyAlignment="1">
      <alignment vertical="top"/>
    </xf>
    <xf numFmtId="166" fontId="3" fillId="0" borderId="0" xfId="0" applyNumberFormat="1" applyFont="1" applyAlignment="1">
      <alignment horizontal="center" vertical="top"/>
    </xf>
    <xf numFmtId="0" fontId="3" fillId="6" borderId="13" xfId="0" applyFont="1" applyFill="1" applyBorder="1" applyAlignment="1">
      <alignment vertical="center"/>
    </xf>
    <xf numFmtId="0" fontId="3" fillId="6" borderId="13" xfId="0" applyFont="1" applyFill="1" applyBorder="1" applyAlignment="1">
      <alignment horizontal="center" vertical="center"/>
    </xf>
    <xf numFmtId="0" fontId="29" fillId="0" borderId="0" xfId="0" applyFont="1"/>
    <xf numFmtId="0" fontId="29" fillId="0" borderId="0" xfId="0" applyFont="1" applyAlignment="1">
      <alignment horizontal="center"/>
    </xf>
    <xf numFmtId="3" fontId="3" fillId="6" borderId="13" xfId="0" applyNumberFormat="1" applyFont="1" applyFill="1" applyBorder="1" applyAlignment="1">
      <alignment horizontal="center" vertical="center"/>
    </xf>
    <xf numFmtId="1" fontId="3" fillId="6" borderId="13" xfId="0" applyNumberFormat="1" applyFont="1" applyFill="1" applyBorder="1" applyAlignment="1">
      <alignment horizontal="center" vertical="center"/>
    </xf>
    <xf numFmtId="2" fontId="3" fillId="6" borderId="13" xfId="0" applyNumberFormat="1" applyFont="1" applyFill="1" applyBorder="1" applyAlignment="1">
      <alignment horizontal="center" vertical="center"/>
    </xf>
    <xf numFmtId="0" fontId="5" fillId="4" borderId="0" xfId="0" applyFont="1" applyFill="1" applyAlignment="1">
      <alignment horizontal="right" vertical="center"/>
    </xf>
    <xf numFmtId="166" fontId="5" fillId="0" borderId="0" xfId="0" applyNumberFormat="1" applyFont="1" applyAlignment="1">
      <alignment horizontal="center" vertical="center"/>
    </xf>
    <xf numFmtId="0" fontId="3" fillId="0" borderId="8" xfId="0" applyFont="1" applyBorder="1" applyAlignment="1">
      <alignment vertical="center"/>
    </xf>
    <xf numFmtId="0" fontId="3" fillId="0" borderId="7" xfId="0" applyFont="1" applyBorder="1" applyAlignment="1">
      <alignment vertical="center"/>
    </xf>
    <xf numFmtId="0" fontId="5" fillId="0" borderId="0" xfId="0" applyFont="1" applyAlignment="1">
      <alignment horizontal="right" vertical="center"/>
    </xf>
    <xf numFmtId="0" fontId="3" fillId="0" borderId="3" xfId="0" applyFont="1" applyBorder="1" applyAlignment="1">
      <alignment horizontal="right" vertical="center"/>
    </xf>
    <xf numFmtId="168" fontId="0" fillId="0" borderId="0" xfId="0" applyNumberFormat="1"/>
    <xf numFmtId="168" fontId="0" fillId="0" borderId="0" xfId="0" quotePrefix="1" applyNumberFormat="1"/>
    <xf numFmtId="0" fontId="15" fillId="0" borderId="13" xfId="0" applyFont="1" applyBorder="1" applyAlignment="1">
      <alignment horizontal="center" vertical="center"/>
    </xf>
    <xf numFmtId="0" fontId="15" fillId="0" borderId="13" xfId="0" applyFont="1" applyBorder="1" applyAlignment="1">
      <alignment vertical="center"/>
    </xf>
    <xf numFmtId="0" fontId="3" fillId="9" borderId="5" xfId="0" applyFont="1" applyFill="1" applyBorder="1" applyAlignment="1">
      <alignment vertical="center"/>
    </xf>
    <xf numFmtId="0" fontId="1" fillId="9" borderId="3" xfId="0" applyFont="1" applyFill="1" applyBorder="1" applyAlignment="1">
      <alignment vertical="center"/>
    </xf>
    <xf numFmtId="0" fontId="3" fillId="9" borderId="3" xfId="0" applyFont="1" applyFill="1" applyBorder="1" applyAlignment="1">
      <alignment vertical="center"/>
    </xf>
    <xf numFmtId="0" fontId="3" fillId="9" borderId="6" xfId="0" applyFont="1" applyFill="1" applyBorder="1" applyAlignment="1">
      <alignment vertical="center"/>
    </xf>
    <xf numFmtId="0" fontId="3" fillId="9" borderId="7" xfId="0" applyFont="1" applyFill="1" applyBorder="1" applyAlignment="1">
      <alignment vertical="center"/>
    </xf>
    <xf numFmtId="0" fontId="3" fillId="9" borderId="0" xfId="0" applyFont="1" applyFill="1" applyAlignment="1">
      <alignment vertical="center"/>
    </xf>
    <xf numFmtId="0" fontId="3" fillId="9" borderId="0" xfId="0" applyFont="1" applyFill="1" applyAlignment="1">
      <alignment horizontal="right" vertical="center"/>
    </xf>
    <xf numFmtId="0" fontId="3" fillId="9" borderId="8" xfId="0" applyFont="1" applyFill="1" applyBorder="1" applyAlignment="1">
      <alignment vertical="center"/>
    </xf>
    <xf numFmtId="0" fontId="3" fillId="9" borderId="0" xfId="0" applyFont="1" applyFill="1" applyAlignment="1">
      <alignment horizontal="left" vertical="center"/>
    </xf>
    <xf numFmtId="0" fontId="22" fillId="9" borderId="13" xfId="0" applyFont="1" applyFill="1" applyBorder="1" applyAlignment="1">
      <alignment horizontal="center" vertical="center"/>
    </xf>
    <xf numFmtId="0" fontId="0" fillId="0" borderId="0" xfId="0" applyAlignment="1">
      <alignment vertical="top" wrapText="1"/>
    </xf>
    <xf numFmtId="166" fontId="3" fillId="0" borderId="0" xfId="0" applyNumberFormat="1" applyFont="1" applyAlignment="1">
      <alignment vertical="center"/>
    </xf>
    <xf numFmtId="0" fontId="3" fillId="9" borderId="9" xfId="0" applyFont="1" applyFill="1" applyBorder="1" applyAlignment="1">
      <alignment vertical="center"/>
    </xf>
    <xf numFmtId="0" fontId="3" fillId="9" borderId="1" xfId="0" applyFont="1" applyFill="1" applyBorder="1" applyAlignment="1">
      <alignment vertical="center"/>
    </xf>
    <xf numFmtId="0" fontId="3" fillId="9" borderId="10" xfId="0" applyFont="1" applyFill="1" applyBorder="1" applyAlignment="1">
      <alignment vertical="center"/>
    </xf>
    <xf numFmtId="166" fontId="0" fillId="0" borderId="0" xfId="0" applyNumberFormat="1" applyAlignment="1">
      <alignment vertical="center"/>
    </xf>
    <xf numFmtId="0" fontId="22" fillId="0" borderId="0" xfId="0" applyFont="1" applyAlignment="1">
      <alignment horizontal="center" vertical="center"/>
    </xf>
    <xf numFmtId="166" fontId="3" fillId="0" borderId="0" xfId="0" applyNumberFormat="1" applyFont="1" applyAlignment="1">
      <alignment horizontal="left" vertical="center"/>
    </xf>
    <xf numFmtId="174" fontId="3" fillId="0" borderId="0" xfId="0" applyNumberFormat="1" applyFont="1" applyAlignment="1">
      <alignment horizontal="right" vertical="center"/>
    </xf>
    <xf numFmtId="176" fontId="3" fillId="0" borderId="0" xfId="2" applyNumberFormat="1" applyFont="1" applyBorder="1" applyAlignment="1" applyProtection="1">
      <alignment horizontal="right" vertical="center"/>
    </xf>
    <xf numFmtId="0" fontId="15" fillId="0" borderId="0" xfId="0" applyFont="1" applyAlignment="1">
      <alignment horizontal="center" vertical="center"/>
    </xf>
    <xf numFmtId="0" fontId="3" fillId="6" borderId="2" xfId="0" applyFont="1" applyFill="1" applyBorder="1" applyAlignment="1">
      <alignment horizontal="center" vertical="center"/>
    </xf>
    <xf numFmtId="0" fontId="3" fillId="6" borderId="15" xfId="0" applyFont="1" applyFill="1" applyBorder="1" applyAlignment="1">
      <alignment horizontal="center" vertical="center"/>
    </xf>
    <xf numFmtId="0" fontId="3" fillId="0" borderId="0" xfId="0" applyFont="1" applyAlignment="1">
      <alignment horizontal="center" vertical="center" textRotation="90" wrapText="1"/>
    </xf>
    <xf numFmtId="0" fontId="3" fillId="0" borderId="13" xfId="0" applyFont="1" applyBorder="1" applyAlignment="1" applyProtection="1">
      <alignment horizontal="center" vertical="center"/>
      <protection locked="0"/>
    </xf>
    <xf numFmtId="1" fontId="3" fillId="0" borderId="1" xfId="0" applyNumberFormat="1" applyFont="1" applyBorder="1" applyAlignment="1">
      <alignment vertical="center"/>
    </xf>
    <xf numFmtId="1" fontId="3" fillId="0" borderId="2" xfId="0" applyNumberFormat="1" applyFont="1" applyBorder="1" applyAlignment="1">
      <alignment vertical="center"/>
    </xf>
    <xf numFmtId="3" fontId="3" fillId="0" borderId="2" xfId="0" applyNumberFormat="1" applyFont="1" applyBorder="1" applyAlignment="1">
      <alignment vertical="center"/>
    </xf>
    <xf numFmtId="0" fontId="3" fillId="0" borderId="2" xfId="0" applyFont="1" applyBorder="1" applyAlignment="1">
      <alignment vertical="center"/>
    </xf>
    <xf numFmtId="2" fontId="3" fillId="0" borderId="2" xfId="0" applyNumberFormat="1" applyFont="1" applyBorder="1" applyAlignment="1">
      <alignmen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2" fontId="3" fillId="0" borderId="1" xfId="0" applyNumberFormat="1" applyFont="1" applyBorder="1" applyAlignment="1" applyProtection="1">
      <alignment horizontal="right" vertical="center"/>
      <protection locked="0"/>
    </xf>
    <xf numFmtId="1" fontId="3" fillId="0" borderId="1" xfId="0" applyNumberFormat="1" applyFont="1" applyBorder="1" applyAlignment="1" applyProtection="1">
      <alignment horizontal="right" vertical="center"/>
      <protection locked="0"/>
    </xf>
    <xf numFmtId="1" fontId="3" fillId="0" borderId="2"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3" fontId="3" fillId="0" borderId="2" xfId="0" applyNumberFormat="1" applyFont="1" applyBorder="1" applyAlignment="1" applyProtection="1">
      <alignment horizontal="right" vertical="center"/>
      <protection locked="0"/>
    </xf>
    <xf numFmtId="3" fontId="3" fillId="0" borderId="2" xfId="0" applyNumberFormat="1" applyFont="1" applyBorder="1" applyAlignment="1">
      <alignment horizontal="right" vertical="center"/>
    </xf>
    <xf numFmtId="2" fontId="3" fillId="0" borderId="2" xfId="0" applyNumberFormat="1"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0" xfId="0" applyFont="1" applyAlignment="1">
      <alignment horizontal="center" vertical="center"/>
    </xf>
    <xf numFmtId="0" fontId="3" fillId="0" borderId="0" xfId="0" applyFont="1" applyAlignment="1">
      <alignment horizontal="center" vertical="center" textRotation="90" wrapText="1"/>
    </xf>
    <xf numFmtId="170" fontId="3" fillId="0" borderId="2"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protection hidden="1"/>
    </xf>
    <xf numFmtId="164" fontId="3" fillId="0" borderId="1" xfId="0"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2" fontId="3" fillId="0" borderId="0" xfId="0" applyNumberFormat="1" applyFont="1" applyAlignment="1">
      <alignment horizontal="right" vertical="center"/>
    </xf>
    <xf numFmtId="4" fontId="3" fillId="0" borderId="2" xfId="0" applyNumberFormat="1" applyFont="1" applyBorder="1" applyAlignment="1" applyProtection="1">
      <alignment horizontal="right" vertical="center"/>
      <protection locked="0"/>
    </xf>
    <xf numFmtId="0" fontId="3" fillId="0" borderId="5"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4" fontId="3" fillId="0" borderId="1" xfId="0" applyNumberFormat="1" applyFont="1" applyBorder="1" applyAlignment="1" applyProtection="1">
      <alignment horizontal="right" vertical="center"/>
      <protection locked="0"/>
    </xf>
    <xf numFmtId="0" fontId="3" fillId="0" borderId="0" xfId="0" applyFont="1" applyAlignment="1">
      <alignment horizontal="center" vertical="center" wrapText="1"/>
    </xf>
    <xf numFmtId="165" fontId="3" fillId="0" borderId="1" xfId="0" applyNumberFormat="1" applyFont="1" applyBorder="1" applyAlignment="1" applyProtection="1">
      <alignment horizontal="right" vertical="center"/>
      <protection locked="0"/>
    </xf>
    <xf numFmtId="171"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164" fontId="3" fillId="0" borderId="1"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6" borderId="0" xfId="0" applyFont="1" applyFill="1" applyAlignment="1">
      <alignment horizontal="center" vertical="center"/>
    </xf>
    <xf numFmtId="0" fontId="0" fillId="0" borderId="0" xfId="0" applyAlignment="1">
      <alignment horizontal="left" vertical="center" wrapText="1"/>
    </xf>
    <xf numFmtId="4" fontId="3" fillId="0" borderId="1" xfId="0" applyNumberFormat="1" applyFont="1" applyBorder="1" applyAlignment="1" applyProtection="1">
      <alignment horizontal="right" vertical="center"/>
      <protection hidden="1"/>
    </xf>
    <xf numFmtId="3" fontId="3" fillId="0" borderId="2" xfId="0" applyNumberFormat="1" applyFont="1" applyBorder="1" applyAlignment="1" applyProtection="1">
      <alignment horizontal="right" vertical="center"/>
      <protection hidden="1"/>
    </xf>
    <xf numFmtId="4" fontId="3" fillId="0" borderId="4" xfId="0" applyNumberFormat="1" applyFont="1" applyBorder="1" applyAlignment="1" applyProtection="1">
      <alignment horizontal="right" vertical="center"/>
      <protection locked="0"/>
    </xf>
    <xf numFmtId="0" fontId="3" fillId="8" borderId="0" xfId="0" applyFont="1" applyFill="1" applyAlignment="1">
      <alignment horizontal="center" vertical="center"/>
    </xf>
    <xf numFmtId="168" fontId="18" fillId="0" borderId="0" xfId="0" applyNumberFormat="1" applyFont="1" applyAlignment="1">
      <alignment horizontal="left" vertical="center"/>
    </xf>
    <xf numFmtId="0" fontId="30" fillId="0" borderId="1" xfId="1" applyFont="1" applyBorder="1" applyAlignment="1" applyProtection="1">
      <alignment horizontal="left" vertical="center"/>
      <protection locked="0"/>
    </xf>
    <xf numFmtId="0" fontId="3" fillId="0" borderId="0" xfId="0" applyFont="1" applyAlignment="1" applyProtection="1">
      <alignment horizontal="right" vertical="center"/>
      <protection locked="0"/>
    </xf>
    <xf numFmtId="0" fontId="2" fillId="0" borderId="0" xfId="0" applyFont="1" applyAlignment="1">
      <alignment horizontal="right" vertical="center" wrapText="1"/>
    </xf>
    <xf numFmtId="0" fontId="14" fillId="0" borderId="0" xfId="0" applyFont="1" applyAlignment="1">
      <alignment horizontal="left" vertical="center"/>
    </xf>
    <xf numFmtId="0" fontId="3" fillId="9" borderId="1" xfId="0" applyFont="1" applyFill="1" applyBorder="1" applyAlignment="1">
      <alignment horizontal="left" vertical="center"/>
    </xf>
    <xf numFmtId="14" fontId="3" fillId="9" borderId="1" xfId="0" applyNumberFormat="1" applyFont="1" applyFill="1" applyBorder="1" applyAlignment="1">
      <alignment horizontal="center" vertical="center"/>
    </xf>
    <xf numFmtId="167" fontId="3" fillId="0" borderId="1" xfId="0" applyNumberFormat="1" applyFont="1" applyBorder="1" applyAlignment="1" applyProtection="1">
      <alignment vertical="center"/>
      <protection locked="0"/>
    </xf>
    <xf numFmtId="173" fontId="3" fillId="0" borderId="2" xfId="0" applyNumberFormat="1" applyFont="1" applyBorder="1" applyAlignment="1" applyProtection="1">
      <alignment vertical="center"/>
      <protection locked="0"/>
    </xf>
    <xf numFmtId="0" fontId="30" fillId="0" borderId="2" xfId="1" applyFont="1" applyBorder="1" applyAlignment="1" applyProtection="1">
      <alignment horizontal="left" vertical="center"/>
      <protection locked="0"/>
    </xf>
    <xf numFmtId="170"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174" fontId="3" fillId="0" borderId="1" xfId="0" applyNumberFormat="1" applyFont="1" applyBorder="1" applyAlignment="1" applyProtection="1">
      <alignment horizontal="right" vertical="center"/>
      <protection locked="0"/>
    </xf>
    <xf numFmtId="0" fontId="3" fillId="0" borderId="0" xfId="0" applyFont="1" applyAlignment="1">
      <alignment horizontal="left" vertical="center"/>
    </xf>
    <xf numFmtId="175" fontId="3" fillId="0" borderId="1" xfId="2" applyNumberFormat="1" applyFont="1" applyBorder="1" applyAlignment="1" applyProtection="1">
      <alignment horizontal="right" vertical="center"/>
    </xf>
    <xf numFmtId="4" fontId="3" fillId="0" borderId="1" xfId="0" applyNumberFormat="1" applyFont="1" applyBorder="1" applyAlignment="1">
      <alignment horizontal="right" vertical="center"/>
    </xf>
    <xf numFmtId="2" fontId="3" fillId="0" borderId="1" xfId="2" applyNumberFormat="1" applyFont="1" applyBorder="1" applyAlignment="1" applyProtection="1">
      <alignment horizontal="right" vertical="center"/>
    </xf>
    <xf numFmtId="2" fontId="3" fillId="0" borderId="2" xfId="0" applyNumberFormat="1" applyFont="1" applyBorder="1" applyAlignment="1">
      <alignment horizontal="right" vertical="center"/>
    </xf>
    <xf numFmtId="4" fontId="3" fillId="0" borderId="2" xfId="0" applyNumberFormat="1" applyFont="1" applyBorder="1" applyAlignment="1">
      <alignment horizontal="right" vertical="center"/>
    </xf>
    <xf numFmtId="0" fontId="9" fillId="4" borderId="0" xfId="0" applyFont="1" applyFill="1" applyAlignment="1">
      <alignment horizontal="left" vertical="center"/>
    </xf>
    <xf numFmtId="0" fontId="18" fillId="0" borderId="0" xfId="0" applyFont="1" applyAlignment="1">
      <alignment horizontal="center" vertical="center" wrapText="1"/>
    </xf>
    <xf numFmtId="3" fontId="3" fillId="0" borderId="1" xfId="0" applyNumberFormat="1" applyFont="1" applyBorder="1" applyAlignment="1">
      <alignment horizontal="right" vertical="center"/>
    </xf>
    <xf numFmtId="0" fontId="3" fillId="0" borderId="2" xfId="0" applyFont="1" applyBorder="1" applyAlignment="1" applyProtection="1">
      <alignment horizontal="left" vertical="center"/>
      <protection hidden="1"/>
    </xf>
    <xf numFmtId="0" fontId="3" fillId="0" borderId="1" xfId="0" applyFont="1" applyBorder="1" applyAlignment="1">
      <alignment horizontal="left" vertical="center"/>
    </xf>
    <xf numFmtId="0" fontId="3" fillId="0" borderId="2" xfId="0" applyFont="1" applyBorder="1" applyAlignment="1">
      <alignment horizontal="right" vertical="center"/>
    </xf>
    <xf numFmtId="3" fontId="3" fillId="0" borderId="1" xfId="0" applyNumberFormat="1" applyFont="1" applyBorder="1" applyAlignment="1" applyProtection="1">
      <alignment horizontal="right" vertical="center"/>
      <protection hidden="1"/>
    </xf>
    <xf numFmtId="2" fontId="3" fillId="0" borderId="1" xfId="0" applyNumberFormat="1" applyFont="1" applyBorder="1" applyAlignment="1">
      <alignment horizontal="right" vertical="center"/>
    </xf>
    <xf numFmtId="0" fontId="3" fillId="0" borderId="0" xfId="0" applyFont="1" applyAlignment="1">
      <alignment horizontal="right" vertical="center"/>
    </xf>
    <xf numFmtId="0" fontId="3" fillId="0" borderId="2" xfId="0" applyFont="1" applyBorder="1" applyAlignment="1">
      <alignment horizontal="left" vertical="center"/>
    </xf>
    <xf numFmtId="2" fontId="3" fillId="0" borderId="2" xfId="0" applyNumberFormat="1" applyFont="1" applyBorder="1" applyAlignment="1" applyProtection="1">
      <alignment horizontal="right" vertical="center"/>
      <protection hidden="1"/>
    </xf>
    <xf numFmtId="2" fontId="3" fillId="0" borderId="1" xfId="0" applyNumberFormat="1" applyFont="1" applyBorder="1" applyAlignment="1" applyProtection="1">
      <alignment horizontal="right" vertical="center"/>
      <protection hidden="1"/>
    </xf>
    <xf numFmtId="0" fontId="3" fillId="0" borderId="1" xfId="0" applyFont="1" applyBorder="1" applyAlignment="1">
      <alignment horizontal="right" vertical="center"/>
    </xf>
    <xf numFmtId="0" fontId="8" fillId="3" borderId="1" xfId="0" applyFont="1" applyFill="1" applyBorder="1" applyAlignment="1">
      <alignment vertical="center"/>
    </xf>
    <xf numFmtId="0" fontId="11" fillId="0" borderId="2" xfId="1" applyBorder="1" applyAlignment="1" applyProtection="1">
      <alignment horizontal="left" vertical="center"/>
      <protection locked="0"/>
    </xf>
    <xf numFmtId="165" fontId="3" fillId="0" borderId="1" xfId="0" applyNumberFormat="1" applyFont="1" applyBorder="1" applyAlignment="1" applyProtection="1">
      <alignment horizontal="right" vertical="center"/>
      <protection hidden="1"/>
    </xf>
    <xf numFmtId="0" fontId="3" fillId="0" borderId="0" xfId="0" applyFont="1" applyAlignment="1">
      <alignment horizontal="left" vertical="top" wrapText="1"/>
    </xf>
    <xf numFmtId="170" fontId="3" fillId="0" borderId="2" xfId="0" applyNumberFormat="1" applyFont="1" applyBorder="1" applyAlignment="1" applyProtection="1">
      <alignment horizontal="center" vertical="center"/>
      <protection locked="0"/>
    </xf>
    <xf numFmtId="165" fontId="3" fillId="0" borderId="2" xfId="0" applyNumberFormat="1" applyFont="1" applyBorder="1" applyAlignment="1" applyProtection="1">
      <alignment horizontal="right" vertical="center"/>
      <protection hidden="1"/>
    </xf>
    <xf numFmtId="171" fontId="3" fillId="0" borderId="2" xfId="0" applyNumberFormat="1"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9" fillId="3" borderId="0" xfId="0" applyFont="1" applyFill="1" applyAlignment="1">
      <alignment horizontal="left" vertical="center"/>
    </xf>
    <xf numFmtId="1" fontId="3" fillId="0" borderId="1" xfId="0" applyNumberFormat="1" applyFont="1" applyBorder="1" applyAlignment="1">
      <alignment horizontal="right" vertical="center"/>
    </xf>
    <xf numFmtId="1" fontId="3" fillId="0" borderId="2" xfId="0" applyNumberFormat="1" applyFont="1" applyBorder="1" applyAlignment="1">
      <alignment horizontal="right" vertical="center"/>
    </xf>
    <xf numFmtId="0" fontId="3" fillId="0" borderId="0" xfId="0" quotePrefix="1" applyFont="1" applyAlignment="1">
      <alignment horizontal="center" vertical="center"/>
    </xf>
    <xf numFmtId="164" fontId="3" fillId="0" borderId="2" xfId="0" applyNumberFormat="1" applyFont="1" applyBorder="1" applyAlignment="1" applyProtection="1">
      <alignment horizontal="center" vertical="center"/>
      <protection locked="0"/>
    </xf>
    <xf numFmtId="172" fontId="3" fillId="0" borderId="1"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167" fontId="0" fillId="0" borderId="2" xfId="0" applyNumberFormat="1" applyBorder="1" applyAlignment="1" applyProtection="1">
      <alignment horizontal="right" vertical="center"/>
      <protection locked="0"/>
    </xf>
    <xf numFmtId="0" fontId="3" fillId="3" borderId="1" xfId="0" applyFont="1" applyFill="1" applyBorder="1" applyAlignment="1">
      <alignment horizontal="left" vertical="center"/>
    </xf>
    <xf numFmtId="14" fontId="3" fillId="3" borderId="1" xfId="0" applyNumberFormat="1" applyFont="1" applyFill="1" applyBorder="1" applyAlignment="1">
      <alignment horizontal="center" vertical="center"/>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171" fontId="0" fillId="0" borderId="2" xfId="0" applyNumberFormat="1" applyBorder="1" applyAlignment="1" applyProtection="1">
      <alignment horizontal="right" vertical="center"/>
      <protection locked="0"/>
    </xf>
    <xf numFmtId="170" fontId="0" fillId="0" borderId="1" xfId="0" applyNumberFormat="1" applyBorder="1" applyAlignment="1" applyProtection="1">
      <alignment horizontal="center" vertical="center"/>
      <protection locked="0"/>
    </xf>
    <xf numFmtId="164" fontId="3" fillId="0" borderId="1" xfId="0" applyNumberFormat="1" applyFont="1" applyBorder="1" applyAlignment="1">
      <alignment horizontal="center" vertical="center"/>
    </xf>
    <xf numFmtId="0" fontId="3" fillId="0" borderId="0" xfId="0" applyFont="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cellXfs>
  <cellStyles count="3">
    <cellStyle name="Hyperlink" xfId="1" builtinId="8"/>
    <cellStyle name="Normal" xfId="0" builtinId="0"/>
    <cellStyle name="Percent" xfId="2" builtinId="5"/>
  </cellStyles>
  <dxfs count="41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theme="9" tint="0.59996337778862885"/>
        </patternFill>
      </fill>
    </dxf>
    <dxf>
      <fill>
        <patternFill>
          <bgColor rgb="FFFF0000"/>
        </patternFill>
      </fill>
    </dxf>
    <dxf>
      <fill>
        <patternFill>
          <bgColor theme="7" tint="0.59996337778862885"/>
        </patternFill>
      </fill>
    </dxf>
    <dxf>
      <fill>
        <patternFill>
          <bgColor theme="7" tint="0.59996337778862885"/>
        </patternFill>
      </fill>
    </dxf>
    <dxf>
      <numFmt numFmtId="3" formatCode="#,##0"/>
    </dxf>
    <dxf>
      <numFmt numFmtId="177" formatCode="0.0000"/>
    </dxf>
    <dxf>
      <fill>
        <patternFill>
          <bgColor theme="5"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numFmt numFmtId="178" formatCode="#,##0.0000"/>
    </dxf>
    <dxf>
      <fill>
        <patternFill>
          <bgColor theme="5" tint="0.59996337778862885"/>
        </patternFill>
      </fill>
    </dxf>
    <dxf>
      <numFmt numFmtId="3" formatCode="#,##0"/>
    </dxf>
    <dxf>
      <numFmt numFmtId="177" formatCode="0.0000"/>
    </dxf>
    <dxf>
      <numFmt numFmtId="3" formatCode="#,##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7"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FFCC"/>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jpg"/><Relationship Id="rId2" Type="http://schemas.openxmlformats.org/officeDocument/2006/relationships/image" Target="../media/image6.emf"/><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130071</xdr:colOff>
      <xdr:row>35</xdr:row>
      <xdr:rowOff>16684</xdr:rowOff>
    </xdr:from>
    <xdr:to>
      <xdr:col>2</xdr:col>
      <xdr:colOff>968906</xdr:colOff>
      <xdr:row>35</xdr:row>
      <xdr:rowOff>740780</xdr:rowOff>
    </xdr:to>
    <xdr:pic>
      <xdr:nvPicPr>
        <xdr:cNvPr id="8" name="Picture 7">
          <a:extLst>
            <a:ext uri="{FF2B5EF4-FFF2-40B4-BE49-F238E27FC236}">
              <a16:creationId xmlns:a16="http://schemas.microsoft.com/office/drawing/2014/main" id="{70F152F3-C505-469E-8B69-356CA57DA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57512" y="10079566"/>
          <a:ext cx="842645" cy="727906"/>
        </a:xfrm>
        <a:prstGeom prst="rect">
          <a:avLst/>
        </a:prstGeom>
        <a:noFill/>
        <a:ln>
          <a:noFill/>
        </a:ln>
      </xdr:spPr>
    </xdr:pic>
    <xdr:clientData/>
  </xdr:twoCellAnchor>
  <xdr:twoCellAnchor editAs="oneCell">
    <xdr:from>
      <xdr:col>2</xdr:col>
      <xdr:colOff>127285</xdr:colOff>
      <xdr:row>34</xdr:row>
      <xdr:rowOff>28271</xdr:rowOff>
    </xdr:from>
    <xdr:to>
      <xdr:col>2</xdr:col>
      <xdr:colOff>935004</xdr:colOff>
      <xdr:row>34</xdr:row>
      <xdr:rowOff>744551</xdr:rowOff>
    </xdr:to>
    <xdr:pic>
      <xdr:nvPicPr>
        <xdr:cNvPr id="10" name="Picture 9">
          <a:extLst>
            <a:ext uri="{FF2B5EF4-FFF2-40B4-BE49-F238E27FC236}">
              <a16:creationId xmlns:a16="http://schemas.microsoft.com/office/drawing/2014/main" id="{3B4983CD-53DB-4379-A322-9D8F6469C4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709685" y="9583751"/>
          <a:ext cx="803909" cy="718185"/>
        </a:xfrm>
        <a:prstGeom prst="rect">
          <a:avLst/>
        </a:prstGeom>
        <a:noFill/>
        <a:ln>
          <a:noFill/>
        </a:ln>
      </xdr:spPr>
    </xdr:pic>
    <xdr:clientData/>
  </xdr:twoCellAnchor>
  <xdr:twoCellAnchor editAs="oneCell">
    <xdr:from>
      <xdr:col>2</xdr:col>
      <xdr:colOff>191277</xdr:colOff>
      <xdr:row>31</xdr:row>
      <xdr:rowOff>20804</xdr:rowOff>
    </xdr:from>
    <xdr:to>
      <xdr:col>2</xdr:col>
      <xdr:colOff>915177</xdr:colOff>
      <xdr:row>31</xdr:row>
      <xdr:rowOff>741862</xdr:rowOff>
    </xdr:to>
    <xdr:pic>
      <xdr:nvPicPr>
        <xdr:cNvPr id="11" name="Picture 10">
          <a:extLst>
            <a:ext uri="{FF2B5EF4-FFF2-40B4-BE49-F238E27FC236}">
              <a16:creationId xmlns:a16="http://schemas.microsoft.com/office/drawing/2014/main" id="{4077AC5B-34F3-43BA-82B7-2D9CB4555C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73677" y="7168364"/>
          <a:ext cx="723900" cy="724868"/>
        </a:xfrm>
        <a:prstGeom prst="rect">
          <a:avLst/>
        </a:prstGeom>
        <a:ln>
          <a:noFill/>
        </a:ln>
      </xdr:spPr>
    </xdr:pic>
    <xdr:clientData/>
  </xdr:twoCellAnchor>
  <xdr:twoCellAnchor editAs="oneCell">
    <xdr:from>
      <xdr:col>2</xdr:col>
      <xdr:colOff>110756</xdr:colOff>
      <xdr:row>33</xdr:row>
      <xdr:rowOff>14173</xdr:rowOff>
    </xdr:from>
    <xdr:to>
      <xdr:col>2</xdr:col>
      <xdr:colOff>933414</xdr:colOff>
      <xdr:row>33</xdr:row>
      <xdr:rowOff>726643</xdr:rowOff>
    </xdr:to>
    <xdr:pic>
      <xdr:nvPicPr>
        <xdr:cNvPr id="12" name="Picture 11">
          <a:extLst>
            <a:ext uri="{FF2B5EF4-FFF2-40B4-BE49-F238E27FC236}">
              <a16:creationId xmlns:a16="http://schemas.microsoft.com/office/drawing/2014/main" id="{9D7129C9-39DC-4BC2-84EF-13FA6D3AAC6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238197" y="8553055"/>
          <a:ext cx="835993" cy="712470"/>
        </a:xfrm>
        <a:prstGeom prst="rect">
          <a:avLst/>
        </a:prstGeom>
        <a:noFill/>
        <a:ln>
          <a:noFill/>
        </a:ln>
      </xdr:spPr>
    </xdr:pic>
    <xdr:clientData/>
  </xdr:twoCellAnchor>
  <xdr:twoCellAnchor editAs="oneCell">
    <xdr:from>
      <xdr:col>2</xdr:col>
      <xdr:colOff>188084</xdr:colOff>
      <xdr:row>32</xdr:row>
      <xdr:rowOff>15598</xdr:rowOff>
    </xdr:from>
    <xdr:to>
      <xdr:col>2</xdr:col>
      <xdr:colOff>899153</xdr:colOff>
      <xdr:row>32</xdr:row>
      <xdr:rowOff>741403</xdr:rowOff>
    </xdr:to>
    <xdr:pic>
      <xdr:nvPicPr>
        <xdr:cNvPr id="13" name="Picture 12" descr="Logo&#10;&#10;Description automatically generated">
          <a:extLst>
            <a:ext uri="{FF2B5EF4-FFF2-40B4-BE49-F238E27FC236}">
              <a16:creationId xmlns:a16="http://schemas.microsoft.com/office/drawing/2014/main" id="{D5373D23-8748-4E41-9ABE-424021CC218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15525" y="7792480"/>
          <a:ext cx="707259" cy="73533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30</xdr:row>
          <xdr:rowOff>173579</xdr:rowOff>
        </xdr:from>
        <xdr:to>
          <xdr:col>5</xdr:col>
          <xdr:colOff>0</xdr:colOff>
          <xdr:row>31</xdr:row>
          <xdr:rowOff>741269</xdr:rowOff>
        </xdr:to>
        <xdr:pic>
          <xdr:nvPicPr>
            <xdr:cNvPr id="14" name="Picture 13">
              <a:extLst>
                <a:ext uri="{FF2B5EF4-FFF2-40B4-BE49-F238E27FC236}">
                  <a16:creationId xmlns:a16="http://schemas.microsoft.com/office/drawing/2014/main" id="{B95C23DE-C582-7E08-C634-C78D831C316B}"/>
                </a:ext>
              </a:extLst>
            </xdr:cNvPr>
            <xdr:cNvPicPr>
              <a:picLocks noChangeAspect="1" noChangeArrowheads="1"/>
              <a:extLst>
                <a:ext uri="{84589F7E-364E-4C9E-8A38-B11213B215E9}">
                  <a14:cameraTool cellRange="Logo" spid="_x0000_s1478"/>
                </a:ext>
              </a:extLst>
            </xdr:cNvPicPr>
          </xdr:nvPicPr>
          <xdr:blipFill>
            <a:blip xmlns:r="http://schemas.openxmlformats.org/officeDocument/2006/relationships" r:embed="rId6"/>
            <a:srcRect/>
            <a:stretch>
              <a:fillRect/>
            </a:stretch>
          </xdr:blipFill>
          <xdr:spPr bwMode="auto">
            <a:xfrm>
              <a:off x="3086100" y="5288504"/>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32</xdr:col>
      <xdr:colOff>11430</xdr:colOff>
      <xdr:row>55</xdr:row>
      <xdr:rowOff>64770</xdr:rowOff>
    </xdr:from>
    <xdr:ext cx="712568" cy="259080"/>
    <xdr:pic>
      <xdr:nvPicPr>
        <xdr:cNvPr id="4" name="Picture 3">
          <a:extLst>
            <a:ext uri="{FF2B5EF4-FFF2-40B4-BE49-F238E27FC236}">
              <a16:creationId xmlns:a16="http://schemas.microsoft.com/office/drawing/2014/main" id="{1C5ACB0A-84DC-4EC6-A890-BADCA8A587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0430" y="8554720"/>
          <a:ext cx="712568" cy="259080"/>
        </a:xfrm>
        <a:prstGeom prst="rect">
          <a:avLst/>
        </a:prstGeom>
      </xdr:spPr>
    </xdr:pic>
    <xdr:clientData/>
  </xdr:oneCellAnchor>
  <xdr:oneCellAnchor>
    <xdr:from>
      <xdr:col>32</xdr:col>
      <xdr:colOff>55880</xdr:colOff>
      <xdr:row>110</xdr:row>
      <xdr:rowOff>91440</xdr:rowOff>
    </xdr:from>
    <xdr:ext cx="712568" cy="259080"/>
    <xdr:pic>
      <xdr:nvPicPr>
        <xdr:cNvPr id="7" name="Picture 6">
          <a:extLst>
            <a:ext uri="{FF2B5EF4-FFF2-40B4-BE49-F238E27FC236}">
              <a16:creationId xmlns:a16="http://schemas.microsoft.com/office/drawing/2014/main" id="{AA3794DE-35E5-4176-BE76-E69E12556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2040" y="9235440"/>
          <a:ext cx="712568" cy="259080"/>
        </a:xfrm>
        <a:prstGeom prst="rect">
          <a:avLst/>
        </a:prstGeom>
      </xdr:spPr>
    </xdr:pic>
    <xdr:clientData/>
  </xdr:oneCellAnchor>
  <xdr:oneCellAnchor>
    <xdr:from>
      <xdr:col>31</xdr:col>
      <xdr:colOff>123190</xdr:colOff>
      <xdr:row>158</xdr:row>
      <xdr:rowOff>67945</xdr:rowOff>
    </xdr:from>
    <xdr:ext cx="712568" cy="259080"/>
    <xdr:pic>
      <xdr:nvPicPr>
        <xdr:cNvPr id="8" name="Picture 7">
          <a:extLst>
            <a:ext uri="{FF2B5EF4-FFF2-40B4-BE49-F238E27FC236}">
              <a16:creationId xmlns:a16="http://schemas.microsoft.com/office/drawing/2014/main" id="{EFBDF929-A5B5-4959-8424-793D04C56A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1690" y="24890095"/>
          <a:ext cx="712568" cy="259080"/>
        </a:xfrm>
        <a:prstGeom prst="rect">
          <a:avLst/>
        </a:prstGeom>
      </xdr:spPr>
    </xdr:pic>
    <xdr:clientData/>
  </xdr:oneCellAnchor>
  <xdr:oneCellAnchor>
    <xdr:from>
      <xdr:col>32</xdr:col>
      <xdr:colOff>34290</xdr:colOff>
      <xdr:row>202</xdr:row>
      <xdr:rowOff>95250</xdr:rowOff>
    </xdr:from>
    <xdr:ext cx="712568" cy="259080"/>
    <xdr:pic>
      <xdr:nvPicPr>
        <xdr:cNvPr id="9" name="Picture 8">
          <a:extLst>
            <a:ext uri="{FF2B5EF4-FFF2-40B4-BE49-F238E27FC236}">
              <a16:creationId xmlns:a16="http://schemas.microsoft.com/office/drawing/2014/main" id="{3CDA7D7D-448A-4DC6-8931-81A23BA34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6790" y="3444240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6</xdr:col>
          <xdr:colOff>6350</xdr:colOff>
          <xdr:row>4</xdr:row>
          <xdr:rowOff>0</xdr:rowOff>
        </xdr:to>
        <xdr:pic>
          <xdr:nvPicPr>
            <xdr:cNvPr id="10" name="Picture 9">
              <a:extLst>
                <a:ext uri="{FF2B5EF4-FFF2-40B4-BE49-F238E27FC236}">
                  <a16:creationId xmlns:a16="http://schemas.microsoft.com/office/drawing/2014/main" id="{B1B9D839-1279-8B78-7FAB-14002F067704}"/>
                </a:ext>
              </a:extLst>
            </xdr:cNvPr>
            <xdr:cNvPicPr>
              <a:picLocks noChangeAspect="1" noChangeArrowheads="1"/>
              <a:extLst>
                <a:ext uri="{84589F7E-364E-4C9E-8A38-B11213B215E9}">
                  <a14:cameraTool cellRange="Logo" spid="_x0000_s2932"/>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0</xdr:row>
          <xdr:rowOff>0</xdr:rowOff>
        </xdr:from>
        <xdr:to>
          <xdr:col>47</xdr:col>
          <xdr:colOff>55880</xdr:colOff>
          <xdr:row>4</xdr:row>
          <xdr:rowOff>0</xdr:rowOff>
        </xdr:to>
        <xdr:pic>
          <xdr:nvPicPr>
            <xdr:cNvPr id="13" name="Picture 12">
              <a:extLst>
                <a:ext uri="{FF2B5EF4-FFF2-40B4-BE49-F238E27FC236}">
                  <a16:creationId xmlns:a16="http://schemas.microsoft.com/office/drawing/2014/main" id="{1F31ED7B-A5E7-96EA-4629-BAEAE044542C}"/>
                </a:ext>
              </a:extLst>
            </xdr:cNvPr>
            <xdr:cNvPicPr>
              <a:picLocks noChangeAspect="1" noChangeArrowheads="1"/>
              <a:extLst>
                <a:ext uri="{84589F7E-364E-4C9E-8A38-B11213B215E9}">
                  <a14:cameraTool cellRange="Logo" spid="_x0000_s2933"/>
                </a:ext>
              </a:extLst>
            </xdr:cNvPicPr>
          </xdr:nvPicPr>
          <xdr:blipFill>
            <a:blip xmlns:r="http://schemas.openxmlformats.org/officeDocument/2006/relationships" r:embed="rId2"/>
            <a:srcRect/>
            <a:stretch>
              <a:fillRect/>
            </a:stretch>
          </xdr:blipFill>
          <xdr:spPr bwMode="auto">
            <a:xfrm>
              <a:off x="711835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32</xdr:col>
      <xdr:colOff>34290</xdr:colOff>
      <xdr:row>245</xdr:row>
      <xdr:rowOff>95250</xdr:rowOff>
    </xdr:from>
    <xdr:ext cx="712568" cy="259080"/>
    <xdr:pic>
      <xdr:nvPicPr>
        <xdr:cNvPr id="2" name="Picture 1">
          <a:extLst>
            <a:ext uri="{FF2B5EF4-FFF2-40B4-BE49-F238E27FC236}">
              <a16:creationId xmlns:a16="http://schemas.microsoft.com/office/drawing/2014/main" id="{341CC3D8-F695-42B7-9430-ABBABDC40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140" y="33771840"/>
          <a:ext cx="712568" cy="259080"/>
        </a:xfrm>
        <a:prstGeom prst="rect">
          <a:avLst/>
        </a:prstGeom>
      </xdr:spPr>
    </xdr:pic>
    <xdr:clientData/>
  </xdr:oneCellAnchor>
  <xdr:twoCellAnchor editAs="oneCell">
    <xdr:from>
      <xdr:col>42</xdr:col>
      <xdr:colOff>129886</xdr:colOff>
      <xdr:row>38</xdr:row>
      <xdr:rowOff>67368</xdr:rowOff>
    </xdr:from>
    <xdr:to>
      <xdr:col>77</xdr:col>
      <xdr:colOff>58673</xdr:colOff>
      <xdr:row>73</xdr:row>
      <xdr:rowOff>170180</xdr:rowOff>
    </xdr:to>
    <xdr:pic>
      <xdr:nvPicPr>
        <xdr:cNvPr id="5" name="Picture 4">
          <a:extLst>
            <a:ext uri="{FF2B5EF4-FFF2-40B4-BE49-F238E27FC236}">
              <a16:creationId xmlns:a16="http://schemas.microsoft.com/office/drawing/2014/main" id="{B4CF00A8-7B3D-0932-7DB6-5F8E22D147D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139" t="3927" r="7428" b="7645"/>
        <a:stretch/>
      </xdr:blipFill>
      <xdr:spPr>
        <a:xfrm>
          <a:off x="10073986" y="5903018"/>
          <a:ext cx="7069997" cy="5380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31</xdr:col>
      <xdr:colOff>187325</xdr:colOff>
      <xdr:row>113</xdr:row>
      <xdr:rowOff>102235</xdr:rowOff>
    </xdr:from>
    <xdr:ext cx="712568" cy="259080"/>
    <xdr:pic>
      <xdr:nvPicPr>
        <xdr:cNvPr id="2" name="Picture 1" descr="A blue text on a white background&#10;&#10;Description automatically generated">
          <a:extLst>
            <a:ext uri="{FF2B5EF4-FFF2-40B4-BE49-F238E27FC236}">
              <a16:creationId xmlns:a16="http://schemas.microsoft.com/office/drawing/2014/main" id="{1F160BBA-C3A9-4CE3-B0E5-D1224DC8F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1789112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43</xdr:col>
          <xdr:colOff>94615</xdr:colOff>
          <xdr:row>0</xdr:row>
          <xdr:rowOff>15875</xdr:rowOff>
        </xdr:from>
        <xdr:to>
          <xdr:col>49</xdr:col>
          <xdr:colOff>37465</xdr:colOff>
          <xdr:row>4</xdr:row>
          <xdr:rowOff>15875</xdr:rowOff>
        </xdr:to>
        <xdr:pic>
          <xdr:nvPicPr>
            <xdr:cNvPr id="3" name="Picture 2">
              <a:extLst>
                <a:ext uri="{FF2B5EF4-FFF2-40B4-BE49-F238E27FC236}">
                  <a16:creationId xmlns:a16="http://schemas.microsoft.com/office/drawing/2014/main" id="{4EB23595-2FBD-48D4-B6A0-CDFF261BFBBF}"/>
                </a:ext>
              </a:extLst>
            </xdr:cNvPr>
            <xdr:cNvPicPr>
              <a:picLocks noChangeAspect="1" noChangeArrowheads="1"/>
              <a:extLst>
                <a:ext uri="{84589F7E-364E-4C9E-8A38-B11213B215E9}">
                  <a14:cameraTool cellRange="Logo" spid="_x0000_s10404"/>
                </a:ext>
              </a:extLst>
            </xdr:cNvPicPr>
          </xdr:nvPicPr>
          <xdr:blipFill>
            <a:blip xmlns:r="http://schemas.openxmlformats.org/officeDocument/2006/relationships" r:embed="rId2"/>
            <a:srcRect/>
            <a:stretch>
              <a:fillRect/>
            </a:stretch>
          </xdr:blipFill>
          <xdr:spPr bwMode="auto">
            <a:xfrm>
              <a:off x="7206615" y="15875"/>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31</xdr:col>
      <xdr:colOff>187325</xdr:colOff>
      <xdr:row>65</xdr:row>
      <xdr:rowOff>117475</xdr:rowOff>
    </xdr:from>
    <xdr:ext cx="712568" cy="259080"/>
    <xdr:pic>
      <xdr:nvPicPr>
        <xdr:cNvPr id="4" name="Picture 3">
          <a:extLst>
            <a:ext uri="{FF2B5EF4-FFF2-40B4-BE49-F238E27FC236}">
              <a16:creationId xmlns:a16="http://schemas.microsoft.com/office/drawing/2014/main" id="{348D256F-6829-44C0-B774-CE77F99A45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6150" y="889952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187960</xdr:colOff>
          <xdr:row>3</xdr:row>
          <xdr:rowOff>180975</xdr:rowOff>
        </xdr:to>
        <xdr:pic>
          <xdr:nvPicPr>
            <xdr:cNvPr id="5" name="Picture 4">
              <a:extLst>
                <a:ext uri="{FF2B5EF4-FFF2-40B4-BE49-F238E27FC236}">
                  <a16:creationId xmlns:a16="http://schemas.microsoft.com/office/drawing/2014/main" id="{C4A790F4-928D-48AD-BFD7-3BE875B2F2AF}"/>
                </a:ext>
              </a:extLst>
            </xdr:cNvPr>
            <xdr:cNvPicPr>
              <a:picLocks noChangeAspect="1"/>
              <a:extLst>
                <a:ext uri="{84589F7E-364E-4C9E-8A38-B11213B215E9}">
                  <a14:cameraTool cellRange="Logo" spid="_x0000_s10405"/>
                </a:ext>
              </a:extLst>
            </xdr:cNvPicPr>
          </xdr:nvPicPr>
          <xdr:blipFill rotWithShape="1">
            <a:blip xmlns:r="http://schemas.openxmlformats.org/officeDocument/2006/relationships" r:embed="rId2"/>
            <a:stretch>
              <a:fillRect/>
            </a:stretch>
          </xdr:blipFill>
          <xdr:spPr bwMode="auto">
            <a:xfrm>
              <a:off x="0" y="0"/>
              <a:ext cx="1082040" cy="762000"/>
            </a:xfrm>
            <a:prstGeom prst="rect">
              <a:avLst/>
            </a:prstGeom>
            <a:noFill/>
            <a:ln>
              <a:noFill/>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33</xdr:col>
      <xdr:colOff>142240</xdr:colOff>
      <xdr:row>58</xdr:row>
      <xdr:rowOff>91440</xdr:rowOff>
    </xdr:from>
    <xdr:ext cx="712568" cy="259080"/>
    <xdr:pic>
      <xdr:nvPicPr>
        <xdr:cNvPr id="8" name="Picture 7">
          <a:extLst>
            <a:ext uri="{FF2B5EF4-FFF2-40B4-BE49-F238E27FC236}">
              <a16:creationId xmlns:a16="http://schemas.microsoft.com/office/drawing/2014/main" id="{9EA62522-6F19-45BB-B3E9-A32EB4346E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2510" y="9067800"/>
          <a:ext cx="712568" cy="259080"/>
        </a:xfrm>
        <a:prstGeom prst="rect">
          <a:avLst/>
        </a:prstGeom>
      </xdr:spPr>
    </xdr:pic>
    <xdr:clientData/>
  </xdr:oneCellAnchor>
  <xdr:oneCellAnchor>
    <xdr:from>
      <xdr:col>33</xdr:col>
      <xdr:colOff>142240</xdr:colOff>
      <xdr:row>109</xdr:row>
      <xdr:rowOff>91440</xdr:rowOff>
    </xdr:from>
    <xdr:ext cx="712568" cy="259080"/>
    <xdr:pic>
      <xdr:nvPicPr>
        <xdr:cNvPr id="9" name="Picture 8">
          <a:extLst>
            <a:ext uri="{FF2B5EF4-FFF2-40B4-BE49-F238E27FC236}">
              <a16:creationId xmlns:a16="http://schemas.microsoft.com/office/drawing/2014/main" id="{D0688AEA-74D5-46DA-ADE8-A01331D07C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9235440"/>
          <a:ext cx="712568" cy="259080"/>
        </a:xfrm>
        <a:prstGeom prst="rect">
          <a:avLst/>
        </a:prstGeom>
      </xdr:spPr>
    </xdr:pic>
    <xdr:clientData/>
  </xdr:oneCellAnchor>
  <xdr:oneCellAnchor>
    <xdr:from>
      <xdr:col>33</xdr:col>
      <xdr:colOff>142240</xdr:colOff>
      <xdr:row>155</xdr:row>
      <xdr:rowOff>91440</xdr:rowOff>
    </xdr:from>
    <xdr:ext cx="712568" cy="259080"/>
    <xdr:pic>
      <xdr:nvPicPr>
        <xdr:cNvPr id="10" name="Picture 9">
          <a:extLst>
            <a:ext uri="{FF2B5EF4-FFF2-40B4-BE49-F238E27FC236}">
              <a16:creationId xmlns:a16="http://schemas.microsoft.com/office/drawing/2014/main" id="{CE67DC1B-DF1A-4E26-8C0B-4731D87588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18003520"/>
          <a:ext cx="712568" cy="259080"/>
        </a:xfrm>
        <a:prstGeom prst="rect">
          <a:avLst/>
        </a:prstGeom>
      </xdr:spPr>
    </xdr:pic>
    <xdr:clientData/>
  </xdr:oneCellAnchor>
  <xdr:oneCellAnchor>
    <xdr:from>
      <xdr:col>33</xdr:col>
      <xdr:colOff>142240</xdr:colOff>
      <xdr:row>200</xdr:row>
      <xdr:rowOff>91440</xdr:rowOff>
    </xdr:from>
    <xdr:ext cx="712568" cy="259080"/>
    <xdr:pic>
      <xdr:nvPicPr>
        <xdr:cNvPr id="11" name="Picture 10">
          <a:extLst>
            <a:ext uri="{FF2B5EF4-FFF2-40B4-BE49-F238E27FC236}">
              <a16:creationId xmlns:a16="http://schemas.microsoft.com/office/drawing/2014/main" id="{47E936E0-CA83-4092-8530-EE76ED0C41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7280" y="18003520"/>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168910</xdr:colOff>
          <xdr:row>4</xdr:row>
          <xdr:rowOff>0</xdr:rowOff>
        </xdr:to>
        <xdr:pic>
          <xdr:nvPicPr>
            <xdr:cNvPr id="14" name="Picture 13">
              <a:extLst>
                <a:ext uri="{FF2B5EF4-FFF2-40B4-BE49-F238E27FC236}">
                  <a16:creationId xmlns:a16="http://schemas.microsoft.com/office/drawing/2014/main" id="{74DB6ADB-A789-34D3-9A9D-2E2D2E478E8C}"/>
                </a:ext>
              </a:extLst>
            </xdr:cNvPr>
            <xdr:cNvPicPr>
              <a:picLocks noChangeAspect="1" noChangeArrowheads="1"/>
              <a:extLst>
                <a:ext uri="{84589F7E-364E-4C9E-8A38-B11213B215E9}">
                  <a14:cameraTool cellRange="Logo" spid="_x0000_s3926"/>
                </a:ext>
              </a:extLst>
            </xdr:cNvPicPr>
          </xdr:nvPicPr>
          <xdr:blipFill>
            <a:blip xmlns:r="http://schemas.openxmlformats.org/officeDocument/2006/relationships" r:embed="rId2"/>
            <a:srcRect/>
            <a:stretch>
              <a:fillRect/>
            </a:stretch>
          </xdr:blipFill>
          <xdr:spPr bwMode="auto">
            <a:xfrm>
              <a:off x="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0</xdr:row>
          <xdr:rowOff>0</xdr:rowOff>
        </xdr:from>
        <xdr:to>
          <xdr:col>49</xdr:col>
          <xdr:colOff>129540</xdr:colOff>
          <xdr:row>4</xdr:row>
          <xdr:rowOff>0</xdr:rowOff>
        </xdr:to>
        <xdr:pic>
          <xdr:nvPicPr>
            <xdr:cNvPr id="16" name="Picture 15">
              <a:extLst>
                <a:ext uri="{FF2B5EF4-FFF2-40B4-BE49-F238E27FC236}">
                  <a16:creationId xmlns:a16="http://schemas.microsoft.com/office/drawing/2014/main" id="{BBF5BA17-857B-88A1-E203-0B6C4FE0F079}"/>
                </a:ext>
              </a:extLst>
            </xdr:cNvPr>
            <xdr:cNvPicPr>
              <a:picLocks noChangeAspect="1" noChangeArrowheads="1"/>
              <a:extLst>
                <a:ext uri="{84589F7E-364E-4C9E-8A38-B11213B215E9}">
                  <a14:cameraTool cellRange="Logo" spid="_x0000_s3927"/>
                </a:ext>
              </a:extLst>
            </xdr:cNvPicPr>
          </xdr:nvPicPr>
          <xdr:blipFill>
            <a:blip xmlns:r="http://schemas.openxmlformats.org/officeDocument/2006/relationships" r:embed="rId2"/>
            <a:srcRect/>
            <a:stretch>
              <a:fillRect/>
            </a:stretch>
          </xdr:blipFill>
          <xdr:spPr bwMode="auto">
            <a:xfrm>
              <a:off x="1054100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33</xdr:col>
      <xdr:colOff>142240</xdr:colOff>
      <xdr:row>250</xdr:row>
      <xdr:rowOff>91440</xdr:rowOff>
    </xdr:from>
    <xdr:ext cx="712568" cy="259080"/>
    <xdr:pic>
      <xdr:nvPicPr>
        <xdr:cNvPr id="2" name="Picture 1">
          <a:extLst>
            <a:ext uri="{FF2B5EF4-FFF2-40B4-BE49-F238E27FC236}">
              <a16:creationId xmlns:a16="http://schemas.microsoft.com/office/drawing/2014/main" id="{DDB0B95C-2720-4128-8464-1C443C9CA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5385" y="33883600"/>
          <a:ext cx="712568" cy="25908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32</xdr:col>
      <xdr:colOff>24130</xdr:colOff>
      <xdr:row>63</xdr:row>
      <xdr:rowOff>66675</xdr:rowOff>
    </xdr:from>
    <xdr:ext cx="712568" cy="259080"/>
    <xdr:pic>
      <xdr:nvPicPr>
        <xdr:cNvPr id="2" name="Picture 1">
          <a:extLst>
            <a:ext uri="{FF2B5EF4-FFF2-40B4-BE49-F238E27FC236}">
              <a16:creationId xmlns:a16="http://schemas.microsoft.com/office/drawing/2014/main" id="{0FB87A4D-37AB-47EF-9E0D-C45A0B52C7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6630" y="8467725"/>
          <a:ext cx="712568" cy="259080"/>
        </a:xfrm>
        <a:prstGeom prst="rect">
          <a:avLst/>
        </a:prstGeom>
      </xdr:spPr>
    </xdr:pic>
    <xdr:clientData/>
  </xdr:oneCellAnchor>
  <xdr:oneCellAnchor>
    <xdr:from>
      <xdr:col>32</xdr:col>
      <xdr:colOff>45720</xdr:colOff>
      <xdr:row>118</xdr:row>
      <xdr:rowOff>66040</xdr:rowOff>
    </xdr:from>
    <xdr:ext cx="712568" cy="259080"/>
    <xdr:pic>
      <xdr:nvPicPr>
        <xdr:cNvPr id="3" name="Picture 2">
          <a:extLst>
            <a:ext uri="{FF2B5EF4-FFF2-40B4-BE49-F238E27FC236}">
              <a16:creationId xmlns:a16="http://schemas.microsoft.com/office/drawing/2014/main" id="{DD9286F8-E16E-4E4F-B452-D9B62499F4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16770985"/>
          <a:ext cx="712568" cy="259080"/>
        </a:xfrm>
        <a:prstGeom prst="rect">
          <a:avLst/>
        </a:prstGeom>
      </xdr:spPr>
    </xdr:pic>
    <xdr:clientData/>
  </xdr:oneCellAnchor>
  <xdr:oneCellAnchor>
    <xdr:from>
      <xdr:col>32</xdr:col>
      <xdr:colOff>45720</xdr:colOff>
      <xdr:row>164</xdr:row>
      <xdr:rowOff>66040</xdr:rowOff>
    </xdr:from>
    <xdr:ext cx="712568" cy="259080"/>
    <xdr:pic>
      <xdr:nvPicPr>
        <xdr:cNvPr id="4" name="Picture 3">
          <a:extLst>
            <a:ext uri="{FF2B5EF4-FFF2-40B4-BE49-F238E27FC236}">
              <a16:creationId xmlns:a16="http://schemas.microsoft.com/office/drawing/2014/main" id="{4DB66C86-C8B5-4883-BD34-BC9F04E67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950" y="21000085"/>
          <a:ext cx="712568" cy="25908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187960</xdr:colOff>
          <xdr:row>3</xdr:row>
          <xdr:rowOff>182880</xdr:rowOff>
        </xdr:to>
        <xdr:pic>
          <xdr:nvPicPr>
            <xdr:cNvPr id="5" name="Picture 4">
              <a:extLst>
                <a:ext uri="{FF2B5EF4-FFF2-40B4-BE49-F238E27FC236}">
                  <a16:creationId xmlns:a16="http://schemas.microsoft.com/office/drawing/2014/main" id="{1DE2FBAC-B977-4C17-B2DB-E02E34E22EF2}"/>
                </a:ext>
              </a:extLst>
            </xdr:cNvPr>
            <xdr:cNvPicPr>
              <a:picLocks noChangeAspect="1" noChangeArrowheads="1"/>
              <a:extLst>
                <a:ext uri="{84589F7E-364E-4C9E-8A38-B11213B215E9}">
                  <a14:cameraTool cellRange="Logo" spid="_x0000_s8692"/>
                </a:ext>
              </a:extLst>
            </xdr:cNvPicPr>
          </xdr:nvPicPr>
          <xdr:blipFill>
            <a:blip xmlns:r="http://schemas.openxmlformats.org/officeDocument/2006/relationships" r:embed="rId2"/>
            <a:srcRect/>
            <a:stretch>
              <a:fillRect/>
            </a:stretch>
          </xdr:blipFill>
          <xdr:spPr bwMode="auto">
            <a:xfrm>
              <a:off x="0" y="0"/>
              <a:ext cx="1082040" cy="762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25400</xdr:colOff>
          <xdr:row>0</xdr:row>
          <xdr:rowOff>0</xdr:rowOff>
        </xdr:from>
        <xdr:to>
          <xdr:col>49</xdr:col>
          <xdr:colOff>154940</xdr:colOff>
          <xdr:row>4</xdr:row>
          <xdr:rowOff>0</xdr:rowOff>
        </xdr:to>
        <xdr:pic>
          <xdr:nvPicPr>
            <xdr:cNvPr id="6" name="Picture 5">
              <a:extLst>
                <a:ext uri="{FF2B5EF4-FFF2-40B4-BE49-F238E27FC236}">
                  <a16:creationId xmlns:a16="http://schemas.microsoft.com/office/drawing/2014/main" id="{8BE36511-D59A-45AE-8784-CBDE1DC20A78}"/>
                </a:ext>
              </a:extLst>
            </xdr:cNvPr>
            <xdr:cNvPicPr>
              <a:picLocks noChangeAspect="1" noChangeArrowheads="1"/>
              <a:extLst>
                <a:ext uri="{84589F7E-364E-4C9E-8A38-B11213B215E9}">
                  <a14:cameraTool cellRange="Logo" spid="_x0000_s8693"/>
                </a:ext>
              </a:extLst>
            </xdr:cNvPicPr>
          </xdr:nvPicPr>
          <xdr:blipFill>
            <a:blip xmlns:r="http://schemas.openxmlformats.org/officeDocument/2006/relationships" r:embed="rId2"/>
            <a:srcRect/>
            <a:stretch>
              <a:fillRect/>
            </a:stretch>
          </xdr:blipFill>
          <xdr:spPr bwMode="auto">
            <a:xfrm>
              <a:off x="7908290" y="0"/>
              <a:ext cx="1085850" cy="762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50EFB0-EACE-4F2E-965F-30EBADAB0D63}" name="T_Material" displayName="T_Material" ref="A1:A10" totalsRowShown="0">
  <autoFilter ref="A1:A10" xr:uid="{4350EFB0-EACE-4F2E-965F-30EBADAB0D63}"/>
  <sortState xmlns:xlrd2="http://schemas.microsoft.com/office/spreadsheetml/2017/richdata2" ref="A2:A10">
    <sortCondition ref="A2:A10"/>
  </sortState>
  <tableColumns count="1">
    <tableColumn id="1" xr3:uid="{20635FEE-B87A-4613-8116-D42DBA41BC7B}" name="Materi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39741E-8EC4-48CA-B62A-CDE619601AF9}" name="T_Shape" displayName="T_Shape" ref="C1:C10" totalsRowShown="0">
  <autoFilter ref="C1:C10" xr:uid="{6939741E-8EC4-48CA-B62A-CDE619601AF9}"/>
  <tableColumns count="1">
    <tableColumn id="1" xr3:uid="{FCA45FDF-4BF6-485F-9343-A0FC0251070A}" name="Sha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97A227-8DCB-4BDE-A6B8-65F88654921D}" name="T_Type" displayName="T_Type" ref="E1:E5" totalsRowShown="0">
  <autoFilter ref="E1:E5" xr:uid="{2397A227-8DCB-4BDE-A6B8-65F88654921D}"/>
  <tableColumns count="1">
    <tableColumn id="1" xr3:uid="{027BD434-05A1-4059-97D8-98CB878E91EF}" name="Typ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8C10C78-AF29-47BA-9C97-B74BAA8C7E1E}" name="T_Resp" displayName="T_Resp" ref="G1:G16" totalsRowShown="0">
  <autoFilter ref="G1:G16" xr:uid="{88C10C78-AF29-47BA-9C97-B74BAA8C7E1E}"/>
  <tableColumns count="1">
    <tableColumn id="1" xr3:uid="{C70FD3B5-6EE9-47D3-96F9-BC5D876984C6}" name="Design Respons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10A5AC-163F-416B-8D9E-476ACCD6A291}" name="T_Reg" displayName="T_Reg" ref="G19:H26" totalsRowShown="0" headerRowDxfId="414" dataDxfId="413">
  <autoFilter ref="G19:H26" xr:uid="{0010A5AC-163F-416B-8D9E-476ACCD6A291}"/>
  <tableColumns count="2">
    <tableColumn id="1" xr3:uid="{E6A4716B-1675-4687-855A-3AA87AF1647B}" name="Registration" dataDxfId="412"/>
    <tableColumn id="2" xr3:uid="{74FF2FAF-6F64-4085-9DED-3E76365F0E9F}" name="Acronym" dataDxfId="41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CB43-2341-4A92-ACD7-244D3FF85EAC}">
  <sheetPr codeName="Sheet3">
    <tabColor rgb="FFFF0000"/>
  </sheetPr>
  <dimension ref="A1:N36"/>
  <sheetViews>
    <sheetView showGridLines="0" zoomScaleNormal="100" workbookViewId="0">
      <selection activeCell="C14" sqref="C14"/>
    </sheetView>
  </sheetViews>
  <sheetFormatPr defaultRowHeight="14.4" x14ac:dyDescent="0.3"/>
  <cols>
    <col min="1" max="1" width="20.77734375" customWidth="1"/>
    <col min="2" max="2" width="3.77734375" customWidth="1"/>
    <col min="3" max="3" width="15.77734375" customWidth="1"/>
    <col min="4" max="4" width="4.5546875" bestFit="1" customWidth="1"/>
    <col min="5" max="5" width="15.77734375" customWidth="1"/>
    <col min="6" max="6" width="3.77734375" customWidth="1"/>
    <col min="7" max="7" width="72.6640625" bestFit="1" customWidth="1"/>
    <col min="8" max="14" width="15.77734375" customWidth="1"/>
  </cols>
  <sheetData>
    <row r="1" spans="1:14" x14ac:dyDescent="0.3">
      <c r="A1" t="s">
        <v>24</v>
      </c>
      <c r="C1" t="s">
        <v>34</v>
      </c>
      <c r="E1" t="s">
        <v>69</v>
      </c>
      <c r="G1" t="s">
        <v>87</v>
      </c>
      <c r="I1" s="129" t="s">
        <v>376</v>
      </c>
      <c r="J1" s="130" t="s">
        <v>168</v>
      </c>
      <c r="K1" s="130" t="s">
        <v>296</v>
      </c>
      <c r="L1" s="130" t="s">
        <v>170</v>
      </c>
      <c r="M1" s="130" t="s">
        <v>167</v>
      </c>
      <c r="N1" s="130" t="s">
        <v>169</v>
      </c>
    </row>
    <row r="2" spans="1:14" x14ac:dyDescent="0.3">
      <c r="A2" t="s">
        <v>25</v>
      </c>
      <c r="C2" t="s">
        <v>481</v>
      </c>
      <c r="E2" t="s">
        <v>210</v>
      </c>
      <c r="G2" t="s">
        <v>89</v>
      </c>
      <c r="I2" s="110" t="s">
        <v>5</v>
      </c>
      <c r="J2" s="113">
        <v>1.1000000000000001</v>
      </c>
      <c r="K2" s="113">
        <v>1.1000000000000001</v>
      </c>
      <c r="L2" s="113">
        <v>1.1399999999999999</v>
      </c>
      <c r="M2" s="113">
        <v>1.1000000000000001</v>
      </c>
      <c r="N2" s="114">
        <v>1.1000000000000001</v>
      </c>
    </row>
    <row r="3" spans="1:14" x14ac:dyDescent="0.3">
      <c r="A3" t="s">
        <v>77</v>
      </c>
      <c r="C3" t="s">
        <v>482</v>
      </c>
      <c r="E3" t="s">
        <v>211</v>
      </c>
      <c r="G3" t="s">
        <v>82</v>
      </c>
      <c r="I3" s="110" t="s">
        <v>6</v>
      </c>
      <c r="J3" s="113">
        <v>4.1100000000000003</v>
      </c>
      <c r="K3" s="113">
        <v>4.1399999999999997</v>
      </c>
      <c r="L3" s="113">
        <v>5.7</v>
      </c>
      <c r="M3" s="113">
        <v>4.24</v>
      </c>
      <c r="N3" s="114">
        <v>4.21</v>
      </c>
    </row>
    <row r="4" spans="1:14" x14ac:dyDescent="0.3">
      <c r="A4" t="s">
        <v>78</v>
      </c>
      <c r="C4" t="s">
        <v>185</v>
      </c>
      <c r="E4" t="s">
        <v>389</v>
      </c>
      <c r="G4" t="s">
        <v>88</v>
      </c>
      <c r="I4" s="110" t="s">
        <v>7</v>
      </c>
      <c r="J4" s="113">
        <v>5.01</v>
      </c>
      <c r="K4" s="113">
        <v>5.0599999999999996</v>
      </c>
      <c r="L4" s="113">
        <v>7.21</v>
      </c>
      <c r="M4" s="113">
        <v>5.3</v>
      </c>
      <c r="N4" s="114">
        <v>5.24</v>
      </c>
    </row>
    <row r="5" spans="1:14" x14ac:dyDescent="0.3">
      <c r="A5" t="s">
        <v>29</v>
      </c>
      <c r="C5" t="s">
        <v>186</v>
      </c>
      <c r="E5" t="s">
        <v>369</v>
      </c>
      <c r="G5" t="s">
        <v>79</v>
      </c>
      <c r="I5" s="110" t="s">
        <v>8</v>
      </c>
      <c r="J5" s="113">
        <v>5.87</v>
      </c>
      <c r="K5" s="113">
        <v>5.91</v>
      </c>
      <c r="L5" s="113">
        <v>8.6300000000000008</v>
      </c>
      <c r="M5" s="113">
        <v>6.24</v>
      </c>
      <c r="N5" s="114">
        <v>6.17</v>
      </c>
    </row>
    <row r="6" spans="1:14" x14ac:dyDescent="0.3">
      <c r="A6" t="s">
        <v>27</v>
      </c>
      <c r="C6" t="s">
        <v>188</v>
      </c>
      <c r="G6" t="str">
        <f>"Velocity &gt; "&amp;C26&amp;" ft/s"</f>
        <v>Velocity &gt; 6 ft/s</v>
      </c>
      <c r="I6" s="110" t="s">
        <v>9</v>
      </c>
      <c r="J6" s="113">
        <v>7.21</v>
      </c>
      <c r="K6" s="113">
        <v>7.26</v>
      </c>
      <c r="L6" s="113">
        <v>10.8</v>
      </c>
      <c r="M6" s="113">
        <v>7.64</v>
      </c>
      <c r="N6" s="114">
        <v>7.55</v>
      </c>
    </row>
    <row r="7" spans="1:14" x14ac:dyDescent="0.3">
      <c r="A7" t="s">
        <v>26</v>
      </c>
      <c r="C7" t="s">
        <v>187</v>
      </c>
      <c r="G7" t="s">
        <v>119</v>
      </c>
      <c r="I7" s="110" t="s">
        <v>483</v>
      </c>
      <c r="J7" s="113">
        <v>8.3699999999999992</v>
      </c>
      <c r="K7" s="113">
        <v>8.48</v>
      </c>
      <c r="L7" s="113">
        <v>12.7</v>
      </c>
      <c r="M7" s="113">
        <v>8.8000000000000007</v>
      </c>
      <c r="N7" s="114">
        <v>8.6999999999999993</v>
      </c>
    </row>
    <row r="8" spans="1:14" x14ac:dyDescent="0.3">
      <c r="A8" t="s">
        <v>31</v>
      </c>
      <c r="C8" t="s">
        <v>378</v>
      </c>
      <c r="G8" t="s">
        <v>118</v>
      </c>
      <c r="I8" s="110" t="s">
        <v>10</v>
      </c>
      <c r="J8" s="113">
        <v>9.65</v>
      </c>
      <c r="K8" s="113">
        <v>9.83</v>
      </c>
      <c r="L8" s="113">
        <v>14.8</v>
      </c>
      <c r="M8" s="113">
        <v>10</v>
      </c>
      <c r="N8" s="114">
        <v>9.93</v>
      </c>
    </row>
    <row r="9" spans="1:14" ht="15.6" x14ac:dyDescent="0.35">
      <c r="A9" t="s">
        <v>28</v>
      </c>
      <c r="C9" t="s">
        <v>31</v>
      </c>
      <c r="G9" t="s">
        <v>160</v>
      </c>
      <c r="I9" s="110" t="s">
        <v>313</v>
      </c>
      <c r="J9" s="117" t="s">
        <v>314</v>
      </c>
      <c r="K9" s="117" t="s">
        <v>315</v>
      </c>
      <c r="L9" s="117" t="s">
        <v>316</v>
      </c>
      <c r="M9" s="117" t="s">
        <v>316</v>
      </c>
      <c r="N9" s="117" t="s">
        <v>317</v>
      </c>
    </row>
    <row r="10" spans="1:14" x14ac:dyDescent="0.3">
      <c r="A10" t="s">
        <v>76</v>
      </c>
      <c r="G10" t="s">
        <v>164</v>
      </c>
      <c r="I10" s="110" t="s">
        <v>318</v>
      </c>
      <c r="J10" t="s">
        <v>319</v>
      </c>
      <c r="K10" t="s">
        <v>320</v>
      </c>
      <c r="L10" t="s">
        <v>319</v>
      </c>
      <c r="M10" t="s">
        <v>319</v>
      </c>
      <c r="N10" t="s">
        <v>319</v>
      </c>
    </row>
    <row r="11" spans="1:14" ht="16.2" x14ac:dyDescent="0.3">
      <c r="G11" t="s">
        <v>488</v>
      </c>
      <c r="I11" s="110" t="s">
        <v>321</v>
      </c>
      <c r="J11" t="s">
        <v>322</v>
      </c>
      <c r="K11" t="s">
        <v>127</v>
      </c>
      <c r="L11" t="s">
        <v>127</v>
      </c>
      <c r="M11" t="s">
        <v>127</v>
      </c>
      <c r="N11" t="s">
        <v>127</v>
      </c>
    </row>
    <row r="12" spans="1:14" x14ac:dyDescent="0.3">
      <c r="G12" t="str">
        <f>C25&amp;" has not been provided"</f>
        <v>0 has not been provided</v>
      </c>
      <c r="I12" s="110" t="s">
        <v>374</v>
      </c>
      <c r="L12" t="s">
        <v>377</v>
      </c>
      <c r="M12" t="s">
        <v>445</v>
      </c>
    </row>
    <row r="13" spans="1:14" x14ac:dyDescent="0.3">
      <c r="A13" s="110" t="s">
        <v>291</v>
      </c>
      <c r="C13" s="122">
        <v>45383</v>
      </c>
      <c r="G13" t="s">
        <v>382</v>
      </c>
      <c r="I13" s="110" t="s">
        <v>375</v>
      </c>
      <c r="J13">
        <v>6</v>
      </c>
      <c r="K13">
        <v>5</v>
      </c>
      <c r="L13">
        <v>5</v>
      </c>
      <c r="M13">
        <v>6</v>
      </c>
      <c r="N13">
        <v>6</v>
      </c>
    </row>
    <row r="14" spans="1:14" x14ac:dyDescent="0.3">
      <c r="A14" s="115" t="s">
        <v>171</v>
      </c>
      <c r="C14" s="116" t="s">
        <v>169</v>
      </c>
      <c r="G14" t="s">
        <v>520</v>
      </c>
      <c r="I14" s="110" t="s">
        <v>455</v>
      </c>
      <c r="J14" s="140"/>
      <c r="K14" s="140"/>
      <c r="L14" s="140"/>
      <c r="M14" s="141" t="s">
        <v>456</v>
      </c>
      <c r="N14" s="141" t="s">
        <v>457</v>
      </c>
    </row>
    <row r="15" spans="1:14" x14ac:dyDescent="0.3">
      <c r="A15" s="110" t="s">
        <v>5</v>
      </c>
      <c r="C15" s="113">
        <f>HLOOKUP($C$14,$J$1:$N$15,2)</f>
        <v>1.1000000000000001</v>
      </c>
      <c r="D15" s="112" t="str">
        <f>TEXT(C15,"0.00")</f>
        <v>1.10</v>
      </c>
      <c r="G15" t="s">
        <v>524</v>
      </c>
      <c r="I15" s="110" t="s">
        <v>485</v>
      </c>
      <c r="J15" t="s">
        <v>487</v>
      </c>
      <c r="K15" t="s">
        <v>486</v>
      </c>
      <c r="L15" t="s">
        <v>487</v>
      </c>
      <c r="M15" t="s">
        <v>487</v>
      </c>
      <c r="N15" t="s">
        <v>487</v>
      </c>
    </row>
    <row r="16" spans="1:14" x14ac:dyDescent="0.3">
      <c r="A16" s="110" t="s">
        <v>6</v>
      </c>
      <c r="C16" s="113">
        <f>HLOOKUP($C$14,$J$1:$N$15,3)</f>
        <v>4.21</v>
      </c>
      <c r="G16" t="s">
        <v>523</v>
      </c>
    </row>
    <row r="17" spans="1:8" x14ac:dyDescent="0.3">
      <c r="A17" s="110" t="s">
        <v>7</v>
      </c>
      <c r="C17" s="113">
        <f>HLOOKUP($C$14,$J$1:$N$15,4)</f>
        <v>5.24</v>
      </c>
      <c r="D17" s="113"/>
    </row>
    <row r="18" spans="1:8" x14ac:dyDescent="0.3">
      <c r="A18" s="110" t="s">
        <v>8</v>
      </c>
      <c r="C18" s="113">
        <f>HLOOKUP($C$14,$J$1:$N$15,5)</f>
        <v>6.17</v>
      </c>
    </row>
    <row r="19" spans="1:8" x14ac:dyDescent="0.3">
      <c r="A19" s="110" t="s">
        <v>9</v>
      </c>
      <c r="C19" s="113">
        <f>HLOOKUP($C$14,$J$1:$N$15,6)</f>
        <v>7.55</v>
      </c>
      <c r="G19" t="s">
        <v>299</v>
      </c>
      <c r="H19" t="s">
        <v>300</v>
      </c>
    </row>
    <row r="20" spans="1:8" x14ac:dyDescent="0.3">
      <c r="A20" s="110" t="s">
        <v>483</v>
      </c>
      <c r="C20" s="113">
        <f>HLOOKUP($C$14,$J$1:$N$15,7)</f>
        <v>8.6999999999999993</v>
      </c>
    </row>
    <row r="21" spans="1:8" x14ac:dyDescent="0.3">
      <c r="A21" s="110" t="s">
        <v>10</v>
      </c>
      <c r="C21" s="113">
        <f>HLOOKUP($C$14,$J$1:$N$15,8)</f>
        <v>9.93</v>
      </c>
      <c r="G21" t="s">
        <v>301</v>
      </c>
      <c r="H21" t="s">
        <v>302</v>
      </c>
    </row>
    <row r="22" spans="1:8" x14ac:dyDescent="0.3">
      <c r="A22" s="110" t="s">
        <v>313</v>
      </c>
      <c r="C22" s="118" t="str">
        <f>HLOOKUP($C$14,$J$1:$N$15,9)</f>
        <v>1 July 2018</v>
      </c>
      <c r="G22" t="s">
        <v>303</v>
      </c>
      <c r="H22" t="s">
        <v>304</v>
      </c>
    </row>
    <row r="23" spans="1:8" x14ac:dyDescent="0.3">
      <c r="A23" s="110" t="s">
        <v>323</v>
      </c>
      <c r="C23" s="118" t="str">
        <f>HLOOKUP($C$14,$J$1:$N$15,10)</f>
        <v>City</v>
      </c>
      <c r="G23" t="s">
        <v>305</v>
      </c>
      <c r="H23" t="s">
        <v>306</v>
      </c>
    </row>
    <row r="24" spans="1:8" x14ac:dyDescent="0.3">
      <c r="A24" s="110" t="s">
        <v>321</v>
      </c>
      <c r="C24" s="118" t="str">
        <f>HLOOKUP($C$14,$J$1:$N$15,11)</f>
        <v xml:space="preserve"> O&amp;M Agreement</v>
      </c>
      <c r="G24" t="s">
        <v>307</v>
      </c>
      <c r="H24" t="s">
        <v>308</v>
      </c>
    </row>
    <row r="25" spans="1:8" x14ac:dyDescent="0.3">
      <c r="A25" s="110" t="s">
        <v>374</v>
      </c>
      <c r="C25" s="113">
        <f>HLOOKUP($C$14,$J$1:$N$15,12)</f>
        <v>0</v>
      </c>
      <c r="G25" t="s">
        <v>309</v>
      </c>
      <c r="H25" t="s">
        <v>310</v>
      </c>
    </row>
    <row r="26" spans="1:8" x14ac:dyDescent="0.3">
      <c r="A26" s="110" t="s">
        <v>375</v>
      </c>
      <c r="C26" s="113">
        <f>HLOOKUP($C$14,$J$1:$N$15,13)</f>
        <v>6</v>
      </c>
      <c r="G26" t="s">
        <v>311</v>
      </c>
      <c r="H26" t="s">
        <v>312</v>
      </c>
    </row>
    <row r="27" spans="1:8" x14ac:dyDescent="0.3">
      <c r="A27" s="110" t="s">
        <v>475</v>
      </c>
      <c r="C27" s="140" t="str">
        <f>HLOOKUP($C$14,$J$1:$N$15,14)</f>
        <v>1 September</v>
      </c>
    </row>
    <row r="28" spans="1:8" x14ac:dyDescent="0.3">
      <c r="A28" s="110" t="s">
        <v>484</v>
      </c>
      <c r="C28" s="140" t="str">
        <f>HLOOKUP($C$14,$J$1:$N$15,15)</f>
        <v>2, 5, 10, and 25</v>
      </c>
    </row>
    <row r="29" spans="1:8" x14ac:dyDescent="0.3">
      <c r="A29" s="110"/>
      <c r="C29" s="140"/>
    </row>
    <row r="30" spans="1:8" x14ac:dyDescent="0.3">
      <c r="A30" s="110"/>
      <c r="C30" s="140"/>
    </row>
    <row r="31" spans="1:8" x14ac:dyDescent="0.3">
      <c r="E31" s="129" t="s">
        <v>367</v>
      </c>
    </row>
    <row r="32" spans="1:8" ht="60" customHeight="1" x14ac:dyDescent="0.3">
      <c r="B32" s="110" t="s">
        <v>168</v>
      </c>
    </row>
    <row r="33" spans="2:2" ht="60" customHeight="1" x14ac:dyDescent="0.3">
      <c r="B33" s="110" t="s">
        <v>296</v>
      </c>
    </row>
    <row r="34" spans="2:2" ht="60" customHeight="1" x14ac:dyDescent="0.3">
      <c r="B34" s="110" t="s">
        <v>170</v>
      </c>
    </row>
    <row r="35" spans="2:2" ht="60" customHeight="1" x14ac:dyDescent="0.3">
      <c r="B35" s="110" t="s">
        <v>167</v>
      </c>
    </row>
    <row r="36" spans="2:2" ht="60" customHeight="1" x14ac:dyDescent="0.3">
      <c r="B36" s="110" t="s">
        <v>169</v>
      </c>
    </row>
  </sheetData>
  <dataValidations count="1">
    <dataValidation type="list" allowBlank="1" showInputMessage="1" showErrorMessage="1" sqref="C14" xr:uid="{7F313BDA-AE88-459D-97D1-FCBB8B4F7AB6}">
      <formula1>$J$1:$N$1</formula1>
    </dataValidation>
  </dataValidations>
  <pageMargins left="0.7" right="0.7" top="0.75" bottom="0.75" header="0.3" footer="0.3"/>
  <pageSetup orientation="portrait" horizontalDpi="1200" verticalDpi="1200" r:id="rId1"/>
  <drawing r:id="rId2"/>
  <legacyDrawing r:id="rId3"/>
  <tableParts count="5">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442E-5BDD-4EB7-ACA3-35258981D945}">
  <sheetPr codeName="Sheet4">
    <tabColor theme="2" tint="-0.499984740745262"/>
    <pageSetUpPr fitToPage="1"/>
  </sheetPr>
  <dimension ref="A1:T57"/>
  <sheetViews>
    <sheetView showGridLines="0" showRowColHeaders="0" tabSelected="1" zoomScale="130" zoomScaleNormal="130" workbookViewId="0">
      <selection activeCell="C4" sqref="C4:Q5"/>
    </sheetView>
  </sheetViews>
  <sheetFormatPr defaultColWidth="0" defaultRowHeight="0" customHeight="1" zeroHeight="1" x14ac:dyDescent="0.3"/>
  <cols>
    <col min="1" max="1" width="2.77734375" style="17" customWidth="1"/>
    <col min="2" max="2" width="5.77734375" style="16" customWidth="1"/>
    <col min="3" max="8" width="2.77734375" style="17" customWidth="1"/>
    <col min="9" max="17" width="8.88671875" style="17" customWidth="1"/>
    <col min="18" max="20" width="0" style="17" hidden="1" customWidth="1"/>
    <col min="21" max="16384" width="8.88671875" style="17" hidden="1"/>
  </cols>
  <sheetData>
    <row r="1" spans="2:17" ht="19.95" customHeight="1" x14ac:dyDescent="0.3"/>
    <row r="2" spans="2:17" ht="19.95" customHeight="1" x14ac:dyDescent="0.3">
      <c r="B2" s="67" t="s">
        <v>71</v>
      </c>
    </row>
    <row r="3" spans="2:17" ht="4.95" customHeight="1" x14ac:dyDescent="0.3">
      <c r="B3" s="67"/>
    </row>
    <row r="4" spans="2:17" ht="19.95" customHeight="1" x14ac:dyDescent="0.3">
      <c r="B4" s="16">
        <v>1</v>
      </c>
      <c r="C4" s="174" t="s">
        <v>385</v>
      </c>
      <c r="D4" s="174"/>
      <c r="E4" s="174"/>
      <c r="F4" s="174"/>
      <c r="G4" s="174"/>
      <c r="H4" s="174"/>
      <c r="I4" s="174"/>
      <c r="J4" s="174"/>
      <c r="K4" s="174"/>
      <c r="L4" s="174"/>
      <c r="M4" s="174"/>
      <c r="N4" s="174"/>
      <c r="O4" s="174"/>
      <c r="P4" s="174"/>
      <c r="Q4" s="174"/>
    </row>
    <row r="5" spans="2:17" ht="19.95" customHeight="1" x14ac:dyDescent="0.3">
      <c r="C5" s="174"/>
      <c r="D5" s="174"/>
      <c r="E5" s="174"/>
      <c r="F5" s="174"/>
      <c r="G5" s="174"/>
      <c r="H5" s="174"/>
      <c r="I5" s="174"/>
      <c r="J5" s="174"/>
      <c r="K5" s="174"/>
      <c r="L5" s="174"/>
      <c r="M5" s="174"/>
      <c r="N5" s="174"/>
      <c r="O5" s="174"/>
      <c r="P5" s="174"/>
      <c r="Q5" s="174"/>
    </row>
    <row r="6" spans="2:17" ht="19.95" customHeight="1" x14ac:dyDescent="0.3">
      <c r="B6" s="16">
        <f>B4+1</f>
        <v>2</v>
      </c>
      <c r="C6" s="17" t="s">
        <v>73</v>
      </c>
    </row>
    <row r="7" spans="2:17" ht="19.95" customHeight="1" x14ac:dyDescent="0.3">
      <c r="C7" s="18"/>
      <c r="D7" s="18"/>
      <c r="E7" s="18"/>
      <c r="F7" s="18"/>
      <c r="I7" s="17" t="s">
        <v>70</v>
      </c>
    </row>
    <row r="8" spans="2:17" ht="10.050000000000001" customHeight="1" x14ac:dyDescent="0.3"/>
    <row r="9" spans="2:17" ht="15" customHeight="1" x14ac:dyDescent="0.3">
      <c r="C9" s="19"/>
      <c r="D9" s="19"/>
      <c r="E9" s="19"/>
      <c r="F9" s="19"/>
      <c r="I9" s="175" t="s">
        <v>368</v>
      </c>
      <c r="J9" s="175"/>
      <c r="K9" s="175"/>
      <c r="L9" s="175"/>
      <c r="M9" s="175"/>
      <c r="N9" s="175"/>
      <c r="O9" s="175"/>
      <c r="P9" s="175"/>
      <c r="Q9" s="175"/>
    </row>
    <row r="10" spans="2:17" ht="15" customHeight="1" x14ac:dyDescent="0.3">
      <c r="I10" s="175"/>
      <c r="J10" s="175"/>
      <c r="K10" s="175"/>
      <c r="L10" s="175"/>
      <c r="M10" s="175"/>
      <c r="N10" s="175"/>
      <c r="O10" s="175"/>
      <c r="P10" s="175"/>
      <c r="Q10" s="175"/>
    </row>
    <row r="11" spans="2:17" ht="10.050000000000001" customHeight="1" x14ac:dyDescent="0.3">
      <c r="I11" s="71"/>
      <c r="J11" s="71"/>
      <c r="K11" s="71"/>
      <c r="L11" s="71"/>
      <c r="M11" s="71"/>
      <c r="N11" s="71"/>
      <c r="O11" s="71"/>
      <c r="P11" s="71"/>
      <c r="Q11" s="71"/>
    </row>
    <row r="12" spans="2:17" ht="15" customHeight="1" x14ac:dyDescent="0.3">
      <c r="F12" s="23"/>
      <c r="I12" s="175" t="s">
        <v>284</v>
      </c>
      <c r="J12" s="175"/>
      <c r="K12" s="175"/>
      <c r="L12" s="175"/>
      <c r="M12" s="175"/>
      <c r="N12" s="175"/>
      <c r="O12" s="175"/>
      <c r="P12" s="175"/>
      <c r="Q12" s="175"/>
    </row>
    <row r="13" spans="2:17" ht="15" customHeight="1" x14ac:dyDescent="0.3">
      <c r="I13" s="175"/>
      <c r="J13" s="175"/>
      <c r="K13" s="175"/>
      <c r="L13" s="175"/>
      <c r="M13" s="175"/>
      <c r="N13" s="175"/>
      <c r="O13" s="175"/>
      <c r="P13" s="175"/>
      <c r="Q13" s="175"/>
    </row>
    <row r="14" spans="2:17" ht="15" customHeight="1" x14ac:dyDescent="0.3">
      <c r="I14" s="175"/>
      <c r="J14" s="175"/>
      <c r="K14" s="175"/>
      <c r="L14" s="175"/>
      <c r="M14" s="175"/>
      <c r="N14" s="175"/>
      <c r="O14" s="175"/>
      <c r="P14" s="175"/>
      <c r="Q14" s="175"/>
    </row>
    <row r="15" spans="2:17" ht="15" customHeight="1" x14ac:dyDescent="0.3">
      <c r="I15" s="175"/>
      <c r="J15" s="175"/>
      <c r="K15" s="175"/>
      <c r="L15" s="175"/>
      <c r="M15" s="175"/>
      <c r="N15" s="175"/>
      <c r="O15" s="175"/>
      <c r="P15" s="175"/>
      <c r="Q15" s="175"/>
    </row>
    <row r="16" spans="2:17" ht="10.050000000000001" customHeight="1" x14ac:dyDescent="0.3">
      <c r="I16" s="72"/>
      <c r="J16" s="72"/>
      <c r="K16" s="72"/>
      <c r="L16" s="72"/>
      <c r="M16" s="72"/>
      <c r="N16" s="72"/>
      <c r="O16" s="72"/>
      <c r="P16" s="72"/>
      <c r="Q16" s="72"/>
    </row>
    <row r="17" spans="3:17" ht="15" customHeight="1" x14ac:dyDescent="0.3">
      <c r="C17" s="23"/>
      <c r="D17" s="40" t="s">
        <v>130</v>
      </c>
      <c r="E17" s="40"/>
      <c r="F17" s="23"/>
      <c r="G17" s="40" t="s">
        <v>131</v>
      </c>
      <c r="I17" s="175" t="s">
        <v>220</v>
      </c>
      <c r="J17" s="175"/>
      <c r="K17" s="175"/>
      <c r="L17" s="175"/>
      <c r="M17" s="175"/>
      <c r="N17" s="175"/>
      <c r="O17" s="175"/>
      <c r="P17" s="175"/>
      <c r="Q17" s="175"/>
    </row>
    <row r="18" spans="3:17" ht="15" customHeight="1" x14ac:dyDescent="0.3">
      <c r="I18" s="175"/>
      <c r="J18" s="175"/>
      <c r="K18" s="175"/>
      <c r="L18" s="175"/>
      <c r="M18" s="175"/>
      <c r="N18" s="175"/>
      <c r="O18" s="175"/>
      <c r="P18" s="175"/>
      <c r="Q18" s="175"/>
    </row>
    <row r="19" spans="3:17" ht="10.050000000000001" customHeight="1" x14ac:dyDescent="0.3"/>
    <row r="20" spans="3:17" ht="15" customHeight="1" x14ac:dyDescent="0.3">
      <c r="C20" s="20"/>
      <c r="D20" s="20"/>
      <c r="E20" s="20"/>
      <c r="F20" s="20"/>
      <c r="I20" s="175" t="s">
        <v>72</v>
      </c>
      <c r="J20" s="175"/>
      <c r="K20" s="175"/>
      <c r="L20" s="175"/>
      <c r="M20" s="175"/>
      <c r="N20" s="175"/>
      <c r="O20" s="175"/>
      <c r="P20" s="175"/>
      <c r="Q20" s="175"/>
    </row>
    <row r="21" spans="3:17" ht="15" customHeight="1" x14ac:dyDescent="0.3">
      <c r="I21" s="175"/>
      <c r="J21" s="175"/>
      <c r="K21" s="175"/>
      <c r="L21" s="175"/>
      <c r="M21" s="175"/>
      <c r="N21" s="175"/>
      <c r="O21" s="175"/>
      <c r="P21" s="175"/>
      <c r="Q21" s="175"/>
    </row>
    <row r="22" spans="3:17" ht="15" customHeight="1" x14ac:dyDescent="0.3">
      <c r="I22" s="175"/>
      <c r="J22" s="175"/>
      <c r="K22" s="175"/>
      <c r="L22" s="175"/>
      <c r="M22" s="175"/>
      <c r="N22" s="175"/>
      <c r="O22" s="175"/>
      <c r="P22" s="175"/>
      <c r="Q22" s="175"/>
    </row>
    <row r="23" spans="3:17" ht="19.95" customHeight="1" x14ac:dyDescent="0.3">
      <c r="I23" s="175"/>
      <c r="J23" s="175"/>
      <c r="K23" s="175"/>
      <c r="L23" s="175"/>
      <c r="M23" s="175"/>
      <c r="N23" s="175"/>
      <c r="O23" s="175"/>
      <c r="P23" s="175"/>
      <c r="Q23" s="175"/>
    </row>
    <row r="24" spans="3:17" ht="10.050000000000001" customHeight="1" x14ac:dyDescent="0.3">
      <c r="I24" s="72"/>
      <c r="J24" s="72"/>
      <c r="K24" s="72"/>
      <c r="L24" s="72"/>
      <c r="M24" s="72"/>
      <c r="N24" s="72"/>
      <c r="O24" s="72"/>
      <c r="P24" s="72"/>
      <c r="Q24" s="72"/>
    </row>
    <row r="25" spans="3:17" ht="15" customHeight="1" x14ac:dyDescent="0.3">
      <c r="C25" s="21"/>
      <c r="D25" s="21"/>
      <c r="E25" s="21"/>
      <c r="F25" s="21"/>
      <c r="I25" s="175" t="s">
        <v>120</v>
      </c>
      <c r="J25" s="175"/>
      <c r="K25" s="175"/>
      <c r="L25" s="175"/>
      <c r="M25" s="175"/>
      <c r="N25" s="175"/>
      <c r="O25" s="175"/>
      <c r="P25" s="175"/>
      <c r="Q25" s="175"/>
    </row>
    <row r="26" spans="3:17" ht="15" customHeight="1" x14ac:dyDescent="0.3">
      <c r="I26" s="175"/>
      <c r="J26" s="175"/>
      <c r="K26" s="175"/>
      <c r="L26" s="175"/>
      <c r="M26" s="175"/>
      <c r="N26" s="175"/>
      <c r="O26" s="175"/>
      <c r="P26" s="175"/>
      <c r="Q26" s="175"/>
    </row>
    <row r="27" spans="3:17" ht="10.050000000000001" customHeight="1" x14ac:dyDescent="0.3"/>
    <row r="28" spans="3:17" ht="19.95" customHeight="1" x14ac:dyDescent="0.3">
      <c r="C28" s="22" t="s">
        <v>32</v>
      </c>
      <c r="D28" s="22"/>
      <c r="E28" s="22"/>
      <c r="F28" s="22"/>
      <c r="I28" s="17" t="s">
        <v>386</v>
      </c>
    </row>
    <row r="29" spans="3:17" ht="10.050000000000001" customHeight="1" x14ac:dyDescent="0.3"/>
    <row r="30" spans="3:17" ht="19.95" customHeight="1" x14ac:dyDescent="0.3">
      <c r="C30" s="5" t="s">
        <v>34</v>
      </c>
      <c r="D30" s="5"/>
      <c r="E30" s="5"/>
      <c r="F30" s="5"/>
      <c r="I30" s="17" t="s">
        <v>75</v>
      </c>
    </row>
    <row r="31" spans="3:17" ht="10.050000000000001" customHeight="1" x14ac:dyDescent="0.3"/>
    <row r="32" spans="3:17" ht="19.95" customHeight="1" x14ac:dyDescent="0.3">
      <c r="C32" s="5" t="s">
        <v>24</v>
      </c>
      <c r="D32" s="5"/>
      <c r="E32" s="5"/>
      <c r="F32" s="5"/>
      <c r="I32" s="17" t="s">
        <v>121</v>
      </c>
    </row>
    <row r="33" spans="2:17" ht="10.050000000000001" customHeight="1" x14ac:dyDescent="0.3"/>
    <row r="34" spans="2:17" ht="19.95" customHeight="1" x14ac:dyDescent="0.3">
      <c r="B34" s="16">
        <f>B6+1</f>
        <v>3</v>
      </c>
      <c r="C34" s="17" t="s">
        <v>286</v>
      </c>
    </row>
    <row r="35" spans="2:17" ht="19.95" customHeight="1" x14ac:dyDescent="0.3">
      <c r="B35" s="16">
        <f>B34+1</f>
        <v>4</v>
      </c>
      <c r="C35" s="175" t="s">
        <v>285</v>
      </c>
      <c r="D35" s="175"/>
      <c r="E35" s="175"/>
      <c r="F35" s="175"/>
      <c r="G35" s="175"/>
      <c r="H35" s="175"/>
      <c r="I35" s="175"/>
      <c r="J35" s="175"/>
      <c r="K35" s="175"/>
      <c r="L35" s="175"/>
      <c r="M35" s="175"/>
      <c r="N35" s="175"/>
      <c r="O35" s="175"/>
      <c r="P35" s="175"/>
      <c r="Q35" s="175"/>
    </row>
    <row r="36" spans="2:17" ht="15" customHeight="1" x14ac:dyDescent="0.3">
      <c r="C36" s="175"/>
      <c r="D36" s="175"/>
      <c r="E36" s="175"/>
      <c r="F36" s="175"/>
      <c r="G36" s="175"/>
      <c r="H36" s="175"/>
      <c r="I36" s="175"/>
      <c r="J36" s="175"/>
      <c r="K36" s="175"/>
      <c r="L36" s="175"/>
      <c r="M36" s="175"/>
      <c r="N36" s="175"/>
      <c r="O36" s="175"/>
      <c r="P36" s="175"/>
      <c r="Q36" s="175"/>
    </row>
    <row r="37" spans="2:17" ht="19.95" customHeight="1" x14ac:dyDescent="0.3">
      <c r="B37" s="16">
        <v>5</v>
      </c>
      <c r="C37" s="174" t="s">
        <v>221</v>
      </c>
      <c r="D37" s="174"/>
      <c r="E37" s="174"/>
      <c r="F37" s="174"/>
      <c r="G37" s="174"/>
      <c r="H37" s="174"/>
      <c r="I37" s="174"/>
      <c r="J37" s="174"/>
      <c r="K37" s="174"/>
      <c r="L37" s="174"/>
      <c r="M37" s="174"/>
      <c r="N37" s="174"/>
      <c r="O37" s="174"/>
      <c r="P37" s="174"/>
      <c r="Q37" s="174"/>
    </row>
    <row r="38" spans="2:17" ht="19.95" customHeight="1" x14ac:dyDescent="0.3">
      <c r="C38" s="174"/>
      <c r="D38" s="174"/>
      <c r="E38" s="174"/>
      <c r="F38" s="174"/>
      <c r="G38" s="174"/>
      <c r="H38" s="174"/>
      <c r="I38" s="174"/>
      <c r="J38" s="174"/>
      <c r="K38" s="174"/>
      <c r="L38" s="174"/>
      <c r="M38" s="174"/>
      <c r="N38" s="174"/>
      <c r="O38" s="174"/>
      <c r="P38" s="174"/>
      <c r="Q38" s="174"/>
    </row>
    <row r="39" spans="2:17" ht="12" customHeight="1" x14ac:dyDescent="0.3">
      <c r="C39" s="174"/>
      <c r="D39" s="174"/>
      <c r="E39" s="174"/>
      <c r="F39" s="174"/>
      <c r="G39" s="174"/>
      <c r="H39" s="174"/>
      <c r="I39" s="174"/>
      <c r="J39" s="174"/>
      <c r="K39" s="174"/>
      <c r="L39" s="174"/>
      <c r="M39" s="174"/>
      <c r="N39" s="174"/>
      <c r="O39" s="174"/>
      <c r="P39" s="174"/>
      <c r="Q39" s="174"/>
    </row>
    <row r="40" spans="2:17" ht="19.95" customHeight="1" x14ac:dyDescent="0.3">
      <c r="B40" s="16">
        <v>6</v>
      </c>
      <c r="C40" s="17" t="s">
        <v>336</v>
      </c>
    </row>
    <row r="41" spans="2:17" ht="19.95" customHeight="1" x14ac:dyDescent="0.3"/>
    <row r="42" spans="2:17" ht="19.95" customHeight="1" x14ac:dyDescent="0.3"/>
    <row r="43" spans="2:17" ht="19.95" customHeight="1" x14ac:dyDescent="0.3"/>
    <row r="44" spans="2:17" ht="19.95" customHeight="1" x14ac:dyDescent="0.3"/>
    <row r="45" spans="2:17" ht="19.95" customHeight="1" x14ac:dyDescent="0.3"/>
    <row r="46" spans="2:17" ht="19.95" customHeight="1" x14ac:dyDescent="0.3"/>
    <row r="47" spans="2:17" ht="19.95" customHeight="1" x14ac:dyDescent="0.3"/>
    <row r="48" spans="2:17"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sheetData>
  <sheetProtection algorithmName="SHA-512" hashValue="7DZgvX9OQwfLaVzidYc5iBNtPJyTdk1U9XQqzjOFSwMzwIXxvqkOZjnowXtrd9Q+j9ibAUvaAdBl4SQAlcr5tg==" saltValue="ajumIL6Ev6KzkviEVuqf5w==" spinCount="100000" sheet="1" objects="1" scenarios="1" selectLockedCells="1"/>
  <mergeCells count="8">
    <mergeCell ref="C37:Q39"/>
    <mergeCell ref="C4:Q5"/>
    <mergeCell ref="I9:Q10"/>
    <mergeCell ref="I25:Q26"/>
    <mergeCell ref="C35:Q36"/>
    <mergeCell ref="I20:Q23"/>
    <mergeCell ref="I17:Q18"/>
    <mergeCell ref="I12:Q15"/>
  </mergeCells>
  <conditionalFormatting sqref="C17">
    <cfRule type="expression" dxfId="410" priority="2">
      <formula>ISBLANK(C17)</formula>
    </cfRule>
  </conditionalFormatting>
  <conditionalFormatting sqref="C9:F9">
    <cfRule type="expression" dxfId="409" priority="5">
      <formula>ISBLANK(C9)</formula>
    </cfRule>
  </conditionalFormatting>
  <conditionalFormatting sqref="F12">
    <cfRule type="expression" dxfId="408" priority="4">
      <formula>ISBLANK(F12)</formula>
    </cfRule>
  </conditionalFormatting>
  <conditionalFormatting sqref="F17">
    <cfRule type="expression" dxfId="407" priority="1">
      <formula>ISBLANK(F17)</formula>
    </cfRule>
  </conditionalFormatting>
  <pageMargins left="0.2" right="0.2" top="0.5" bottom="0.25" header="0.3" footer="0.3"/>
  <pageSetup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AB6BEEF-B1DA-4646-852C-94D854C30A2A}">
          <x14:formula1>
            <xm:f>Tables!$E$2:$E$4</xm:f>
          </x14:formula1>
          <xm:sqref>C28:F28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5BCFA-678D-4F47-972D-31E458267710}">
  <sheetPr codeName="Sheet5">
    <tabColor theme="9" tint="0.39997558519241921"/>
  </sheetPr>
  <dimension ref="A1:CI251"/>
  <sheetViews>
    <sheetView showGridLines="0" showRowColHeaders="0" showZeros="0" zoomScale="150" zoomScaleNormal="150" workbookViewId="0">
      <selection activeCell="E13" sqref="E13:X13"/>
    </sheetView>
  </sheetViews>
  <sheetFormatPr defaultColWidth="0" defaultRowHeight="0" customHeight="1" zeroHeight="1" x14ac:dyDescent="0.3"/>
  <cols>
    <col min="1" max="1" width="1.77734375" style="40" customWidth="1"/>
    <col min="2" max="11" width="2.77734375" style="40" customWidth="1"/>
    <col min="12" max="12" width="1.77734375" style="40" customWidth="1"/>
    <col min="13" max="36" width="2.77734375" style="40" customWidth="1"/>
    <col min="37" max="37" width="1.77734375" style="40" customWidth="1"/>
    <col min="38" max="38" width="13.21875" style="15" hidden="1" customWidth="1"/>
    <col min="39" max="39" width="11" style="15" hidden="1" customWidth="1"/>
    <col min="40" max="40" width="9.21875" style="15" hidden="1" customWidth="1"/>
    <col min="41" max="41" width="8.77734375" style="15" hidden="1" customWidth="1"/>
    <col min="42" max="42" width="2.77734375" style="40" customWidth="1"/>
    <col min="43" max="43" width="3.77734375" style="40" customWidth="1"/>
    <col min="44" max="76" width="2.77734375" style="40" customWidth="1"/>
    <col min="77" max="78" width="8.88671875" style="40" customWidth="1"/>
    <col min="79" max="16384" width="8.88671875" style="40" hidden="1"/>
  </cols>
  <sheetData>
    <row r="1" spans="1:87" ht="15" customHeight="1" x14ac:dyDescent="0.3">
      <c r="O1" s="3"/>
      <c r="P1" s="3"/>
      <c r="Q1" s="3"/>
      <c r="R1" s="219" t="s">
        <v>511</v>
      </c>
      <c r="S1" s="219"/>
      <c r="T1" s="219"/>
      <c r="U1" s="219"/>
      <c r="V1" s="219"/>
      <c r="W1" s="219"/>
      <c r="X1" s="219"/>
      <c r="Y1" s="219"/>
      <c r="Z1" s="219"/>
      <c r="AA1" s="219"/>
      <c r="AB1" s="219"/>
      <c r="AC1" s="219"/>
      <c r="AD1" s="219"/>
      <c r="AE1" s="219"/>
      <c r="AF1" s="219"/>
      <c r="AG1" s="219"/>
      <c r="AH1" s="219"/>
      <c r="AI1" s="219"/>
      <c r="AJ1" s="219"/>
      <c r="AK1" s="219"/>
      <c r="AL1" s="88"/>
      <c r="AM1" s="88"/>
      <c r="AN1" s="88"/>
      <c r="AO1" s="88"/>
      <c r="BB1" s="219" t="str">
        <f>R1</f>
        <v>Form 2C.1 - Underground Detention
Design Form</v>
      </c>
      <c r="BC1" s="219"/>
      <c r="BD1" s="219"/>
      <c r="BE1" s="219"/>
      <c r="BF1" s="219"/>
      <c r="BG1" s="219"/>
      <c r="BH1" s="219"/>
      <c r="BI1" s="219"/>
      <c r="BJ1" s="219"/>
      <c r="BK1" s="219"/>
      <c r="BL1" s="219"/>
      <c r="BM1" s="219"/>
      <c r="BN1" s="219"/>
      <c r="BO1" s="219"/>
      <c r="BP1" s="219"/>
      <c r="BQ1" s="219"/>
      <c r="BR1" s="219"/>
      <c r="BS1" s="219"/>
      <c r="BT1" s="219"/>
      <c r="BU1" s="219"/>
      <c r="BV1" s="219"/>
      <c r="BW1" s="219"/>
      <c r="CD1" s="89"/>
      <c r="CE1" s="89"/>
      <c r="CF1" s="89"/>
      <c r="CG1" s="89"/>
      <c r="CH1" s="89"/>
      <c r="CI1" s="89"/>
    </row>
    <row r="2" spans="1:87" ht="15" customHeight="1" x14ac:dyDescent="0.3">
      <c r="J2" s="3"/>
      <c r="K2" s="3"/>
      <c r="L2" s="3"/>
      <c r="M2" s="3"/>
      <c r="N2" s="3"/>
      <c r="O2" s="3"/>
      <c r="P2" s="3"/>
      <c r="Q2" s="3"/>
      <c r="R2" s="219"/>
      <c r="S2" s="219"/>
      <c r="T2" s="219"/>
      <c r="U2" s="219"/>
      <c r="V2" s="219"/>
      <c r="W2" s="219"/>
      <c r="X2" s="219"/>
      <c r="Y2" s="219"/>
      <c r="Z2" s="219"/>
      <c r="AA2" s="219"/>
      <c r="AB2" s="219"/>
      <c r="AC2" s="219"/>
      <c r="AD2" s="219"/>
      <c r="AE2" s="219"/>
      <c r="AF2" s="219"/>
      <c r="AG2" s="219"/>
      <c r="AH2" s="219"/>
      <c r="AI2" s="219"/>
      <c r="AJ2" s="219"/>
      <c r="AK2" s="219"/>
      <c r="AL2" s="88"/>
      <c r="AM2" s="88"/>
      <c r="AN2" s="88"/>
      <c r="AO2" s="88"/>
      <c r="BB2" s="219"/>
      <c r="BC2" s="219"/>
      <c r="BD2" s="219"/>
      <c r="BE2" s="219"/>
      <c r="BF2" s="219"/>
      <c r="BG2" s="219"/>
      <c r="BH2" s="219"/>
      <c r="BI2" s="219"/>
      <c r="BJ2" s="219"/>
      <c r="BK2" s="219"/>
      <c r="BL2" s="219"/>
      <c r="BM2" s="219"/>
      <c r="BN2" s="219"/>
      <c r="BO2" s="219"/>
      <c r="BP2" s="219"/>
      <c r="BQ2" s="219"/>
      <c r="BR2" s="219"/>
      <c r="BS2" s="219"/>
      <c r="BT2" s="219"/>
      <c r="BU2" s="219"/>
      <c r="BV2" s="219"/>
      <c r="BW2" s="219"/>
      <c r="BX2" s="26"/>
      <c r="CD2" s="89"/>
      <c r="CE2" s="89"/>
      <c r="CF2" s="89"/>
      <c r="CG2" s="89"/>
      <c r="CH2" s="89"/>
      <c r="CI2" s="89"/>
    </row>
    <row r="3" spans="1:87" ht="15" customHeight="1" x14ac:dyDescent="0.3">
      <c r="J3" s="3"/>
      <c r="K3" s="3"/>
      <c r="L3" s="3"/>
      <c r="M3" s="3"/>
      <c r="N3" s="3"/>
      <c r="O3" s="3"/>
      <c r="P3" s="3"/>
      <c r="Q3" s="3"/>
      <c r="R3" s="219"/>
      <c r="S3" s="219"/>
      <c r="T3" s="219"/>
      <c r="U3" s="219"/>
      <c r="V3" s="219"/>
      <c r="W3" s="219"/>
      <c r="X3" s="219"/>
      <c r="Y3" s="219"/>
      <c r="Z3" s="219"/>
      <c r="AA3" s="219"/>
      <c r="AB3" s="219"/>
      <c r="AC3" s="219"/>
      <c r="AD3" s="219"/>
      <c r="AE3" s="219"/>
      <c r="AF3" s="219"/>
      <c r="AG3" s="219"/>
      <c r="AH3" s="219"/>
      <c r="AI3" s="219"/>
      <c r="AJ3" s="219"/>
      <c r="AK3" s="219"/>
      <c r="AL3" s="88"/>
      <c r="AM3" s="88"/>
      <c r="AN3" s="88"/>
      <c r="AO3" s="88"/>
      <c r="BB3" s="219"/>
      <c r="BC3" s="219"/>
      <c r="BD3" s="219"/>
      <c r="BE3" s="219"/>
      <c r="BF3" s="219"/>
      <c r="BG3" s="219"/>
      <c r="BH3" s="219"/>
      <c r="BI3" s="219"/>
      <c r="BJ3" s="219"/>
      <c r="BK3" s="219"/>
      <c r="BL3" s="219"/>
      <c r="BM3" s="219"/>
      <c r="BN3" s="219"/>
      <c r="BO3" s="219"/>
      <c r="BP3" s="219"/>
      <c r="BQ3" s="219"/>
      <c r="BR3" s="219"/>
      <c r="BS3" s="219"/>
      <c r="BT3" s="219"/>
      <c r="BU3" s="219"/>
      <c r="BV3" s="219"/>
      <c r="BW3" s="219"/>
      <c r="BX3" s="26"/>
      <c r="CD3" s="89"/>
      <c r="CE3" s="89"/>
      <c r="CF3" s="89"/>
      <c r="CG3" s="89"/>
      <c r="CH3" s="89"/>
      <c r="CI3" s="89"/>
    </row>
    <row r="4" spans="1:87" ht="15" customHeight="1" x14ac:dyDescent="0.3">
      <c r="J4" s="3"/>
      <c r="K4" s="3"/>
      <c r="L4" s="3"/>
      <c r="M4" s="3"/>
      <c r="N4" s="3"/>
      <c r="O4" s="3"/>
      <c r="P4" s="3"/>
      <c r="Q4" s="3"/>
      <c r="R4" s="219"/>
      <c r="S4" s="219"/>
      <c r="T4" s="219"/>
      <c r="U4" s="219"/>
      <c r="V4" s="219"/>
      <c r="W4" s="219"/>
      <c r="X4" s="219"/>
      <c r="Y4" s="219"/>
      <c r="Z4" s="219"/>
      <c r="AA4" s="219"/>
      <c r="AB4" s="219"/>
      <c r="AC4" s="219"/>
      <c r="AD4" s="219"/>
      <c r="AE4" s="219"/>
      <c r="AF4" s="219"/>
      <c r="AG4" s="219"/>
      <c r="AH4" s="219"/>
      <c r="AI4" s="219"/>
      <c r="AJ4" s="219"/>
      <c r="AK4" s="219"/>
      <c r="AL4" s="88"/>
      <c r="AM4" s="88"/>
      <c r="AN4" s="88"/>
      <c r="AO4" s="88"/>
      <c r="BB4" s="219"/>
      <c r="BC4" s="219"/>
      <c r="BD4" s="219"/>
      <c r="BE4" s="219"/>
      <c r="BF4" s="219"/>
      <c r="BG4" s="219"/>
      <c r="BH4" s="219"/>
      <c r="BI4" s="219"/>
      <c r="BJ4" s="219"/>
      <c r="BK4" s="219"/>
      <c r="BL4" s="219"/>
      <c r="BM4" s="219"/>
      <c r="BN4" s="219"/>
      <c r="BO4" s="219"/>
      <c r="BP4" s="219"/>
      <c r="BQ4" s="219"/>
      <c r="BR4" s="219"/>
      <c r="BS4" s="219"/>
      <c r="BT4" s="219"/>
      <c r="BU4" s="219"/>
      <c r="BV4" s="219"/>
      <c r="BW4" s="219"/>
      <c r="BX4" s="26"/>
      <c r="CD4" s="89"/>
      <c r="CE4" s="89"/>
      <c r="CF4" s="89"/>
      <c r="CG4" s="89"/>
      <c r="CH4" s="89"/>
      <c r="CI4" s="89"/>
    </row>
    <row r="5" spans="1:87" ht="4.95" customHeight="1" x14ac:dyDescent="0.3">
      <c r="J5" s="3"/>
      <c r="K5" s="3"/>
      <c r="L5" s="3"/>
      <c r="M5" s="3"/>
      <c r="N5" s="3"/>
      <c r="O5" s="3"/>
      <c r="P5" s="3"/>
      <c r="Q5" s="3"/>
      <c r="R5" s="27"/>
      <c r="S5" s="27"/>
      <c r="T5" s="27"/>
      <c r="U5" s="27"/>
      <c r="V5" s="27"/>
      <c r="W5" s="27"/>
      <c r="X5" s="27"/>
      <c r="Y5" s="27"/>
      <c r="Z5" s="27"/>
      <c r="AA5" s="27"/>
      <c r="AB5" s="27"/>
      <c r="AC5" s="27"/>
      <c r="AD5" s="27"/>
      <c r="AE5" s="27"/>
      <c r="AF5" s="27"/>
      <c r="AG5" s="27"/>
      <c r="AH5" s="27"/>
      <c r="AI5" s="27"/>
      <c r="AJ5" s="27"/>
      <c r="AL5" s="88"/>
      <c r="AM5" s="88"/>
      <c r="AN5" s="88"/>
      <c r="AO5" s="88"/>
    </row>
    <row r="6" spans="1:87" ht="14.55" customHeight="1" x14ac:dyDescent="0.3">
      <c r="A6" s="28"/>
      <c r="B6" s="29" t="s">
        <v>123</v>
      </c>
      <c r="C6" s="29"/>
      <c r="D6" s="29"/>
      <c r="E6" s="29"/>
      <c r="F6" s="29"/>
      <c r="G6" s="29"/>
      <c r="H6" s="29"/>
      <c r="I6" s="29"/>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1"/>
      <c r="AL6" s="88"/>
      <c r="AM6" s="88"/>
      <c r="AN6" s="88"/>
      <c r="AO6" s="88"/>
      <c r="AQ6" s="220" t="s">
        <v>74</v>
      </c>
      <c r="AR6" s="220"/>
      <c r="AS6" s="220"/>
      <c r="AT6" s="220"/>
      <c r="AU6" s="220"/>
      <c r="AV6" s="220"/>
      <c r="AW6" s="220"/>
      <c r="AX6" s="220"/>
      <c r="AY6" s="220"/>
      <c r="AZ6" s="220"/>
      <c r="BA6" s="220"/>
      <c r="BB6" s="220"/>
      <c r="BC6" s="220"/>
      <c r="BD6" s="220"/>
      <c r="BE6" s="220"/>
      <c r="BF6" s="83"/>
      <c r="BG6" s="83"/>
      <c r="BH6" s="83"/>
      <c r="BI6" s="83"/>
      <c r="BJ6" s="83"/>
      <c r="BK6" s="83"/>
      <c r="BL6" s="83"/>
      <c r="BM6" s="83"/>
      <c r="BN6" s="83"/>
      <c r="BO6" s="83"/>
      <c r="BP6" s="83"/>
      <c r="BQ6" s="83"/>
      <c r="BR6" s="83"/>
      <c r="BS6" s="83"/>
      <c r="BT6" s="83"/>
      <c r="BU6" s="83"/>
      <c r="BV6" s="83"/>
      <c r="BW6" s="83"/>
      <c r="BX6" s="83"/>
    </row>
    <row r="7" spans="1:87" ht="14.55" customHeight="1" x14ac:dyDescent="0.3">
      <c r="A7" s="32"/>
      <c r="B7" s="12" t="s">
        <v>65</v>
      </c>
      <c r="C7" s="12"/>
      <c r="D7" s="12"/>
      <c r="E7" s="73"/>
      <c r="F7" s="73"/>
      <c r="G7" s="73"/>
      <c r="H7" s="73"/>
      <c r="I7" s="73"/>
      <c r="J7" s="73"/>
      <c r="K7" s="73"/>
      <c r="L7" s="73"/>
      <c r="M7" s="73"/>
      <c r="N7" s="73"/>
      <c r="O7" s="73"/>
      <c r="P7" s="73"/>
      <c r="Q7" s="73"/>
      <c r="R7" s="73"/>
      <c r="S7" s="73"/>
      <c r="T7" s="73"/>
      <c r="U7" s="73"/>
      <c r="V7" s="73"/>
      <c r="W7" s="73"/>
      <c r="X7" s="73"/>
      <c r="Y7" s="73"/>
      <c r="Z7" s="73"/>
      <c r="AA7" s="73"/>
      <c r="AB7" s="73"/>
      <c r="AC7" s="12"/>
      <c r="AD7" s="12"/>
      <c r="AE7" s="33" t="s">
        <v>21</v>
      </c>
      <c r="AF7" s="73"/>
      <c r="AG7" s="73"/>
      <c r="AH7" s="73"/>
      <c r="AI7" s="73"/>
      <c r="AJ7" s="73"/>
      <c r="AK7" s="34"/>
      <c r="AL7" s="88"/>
      <c r="AM7" s="88"/>
      <c r="AN7" s="88"/>
      <c r="AO7" s="88"/>
      <c r="AQ7" s="220"/>
      <c r="AR7" s="220"/>
      <c r="AS7" s="220"/>
      <c r="AT7" s="220"/>
      <c r="AU7" s="220"/>
      <c r="AV7" s="220"/>
      <c r="AW7" s="220"/>
      <c r="AX7" s="220"/>
      <c r="AY7" s="220"/>
      <c r="AZ7" s="220"/>
      <c r="BA7" s="220"/>
      <c r="BB7" s="220"/>
      <c r="BC7" s="220"/>
      <c r="BD7" s="220"/>
      <c r="BE7" s="220"/>
      <c r="BF7" s="83"/>
      <c r="BG7" s="83"/>
      <c r="BH7" s="83"/>
      <c r="BI7" s="83"/>
      <c r="BJ7" s="83"/>
      <c r="BK7" s="83"/>
      <c r="BL7" s="83"/>
      <c r="BM7" s="83"/>
      <c r="BN7" s="83"/>
      <c r="BO7" s="83"/>
      <c r="BP7" s="83"/>
      <c r="BQ7" s="83"/>
      <c r="BR7" s="83"/>
      <c r="BS7" s="83"/>
      <c r="BT7" s="83"/>
      <c r="BU7" s="83"/>
      <c r="BV7" s="83"/>
      <c r="BW7" s="83"/>
      <c r="BX7" s="83"/>
    </row>
    <row r="8" spans="1:87" ht="4.95" customHeight="1" x14ac:dyDescent="0.3">
      <c r="A8" s="32"/>
      <c r="B8" s="12"/>
      <c r="C8" s="12"/>
      <c r="D8" s="12"/>
      <c r="E8" s="12"/>
      <c r="F8" s="12"/>
      <c r="G8" s="12"/>
      <c r="H8" s="12"/>
      <c r="I8" s="12"/>
      <c r="J8" s="12"/>
      <c r="K8" s="12"/>
      <c r="L8" s="12"/>
      <c r="M8" s="12"/>
      <c r="N8" s="12"/>
      <c r="O8" s="12"/>
      <c r="P8" s="12"/>
      <c r="Q8" s="12"/>
      <c r="R8" s="12"/>
      <c r="S8" s="12"/>
      <c r="T8" s="12"/>
      <c r="U8" s="12"/>
      <c r="V8" s="12"/>
      <c r="W8" s="12"/>
      <c r="X8" s="12"/>
      <c r="Y8" s="12"/>
      <c r="Z8" s="33"/>
      <c r="AA8" s="14"/>
      <c r="AB8" s="14"/>
      <c r="AC8" s="14"/>
      <c r="AD8" s="14"/>
      <c r="AE8" s="12"/>
      <c r="AF8" s="12"/>
      <c r="AG8" s="12"/>
      <c r="AH8" s="14"/>
      <c r="AI8" s="14"/>
      <c r="AJ8" s="14"/>
      <c r="AK8" s="34"/>
      <c r="AL8" s="88"/>
      <c r="AM8" s="88"/>
      <c r="AN8" s="88"/>
      <c r="AO8" s="88"/>
    </row>
    <row r="9" spans="1:87" ht="14.55" customHeight="1" x14ac:dyDescent="0.3">
      <c r="A9" s="32"/>
      <c r="B9" s="12" t="s">
        <v>22</v>
      </c>
      <c r="C9" s="12"/>
      <c r="D9" s="12"/>
      <c r="E9" s="12"/>
      <c r="F9" s="12"/>
      <c r="G9" s="90"/>
      <c r="H9" s="12" t="s">
        <v>132</v>
      </c>
      <c r="I9" s="12"/>
      <c r="J9" s="12"/>
      <c r="K9" s="12"/>
      <c r="L9" s="12"/>
      <c r="M9" s="12"/>
      <c r="N9" s="12"/>
      <c r="O9" s="90"/>
      <c r="P9" s="12" t="s">
        <v>133</v>
      </c>
      <c r="Q9" s="12"/>
      <c r="R9" s="12"/>
      <c r="S9" s="12"/>
      <c r="T9" s="12"/>
      <c r="U9" s="12"/>
      <c r="V9" s="12"/>
      <c r="W9" s="12"/>
      <c r="X9" s="90"/>
      <c r="Y9" s="12" t="s">
        <v>134</v>
      </c>
      <c r="Z9" s="12"/>
      <c r="AA9" s="12"/>
      <c r="AB9" s="12"/>
      <c r="AC9" s="12"/>
      <c r="AD9" s="12"/>
      <c r="AE9" s="90"/>
      <c r="AF9" s="12" t="s">
        <v>135</v>
      </c>
      <c r="AG9" s="12"/>
      <c r="AH9" s="12"/>
      <c r="AI9" s="12"/>
      <c r="AJ9" s="12"/>
      <c r="AK9" s="34"/>
      <c r="AL9" s="88"/>
      <c r="AM9" s="88"/>
      <c r="AN9" s="88"/>
      <c r="AO9" s="88"/>
      <c r="AQ9" s="97" t="s">
        <v>124</v>
      </c>
      <c r="AU9" s="108"/>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107"/>
    </row>
    <row r="10" spans="1:87" ht="14.55" customHeight="1" x14ac:dyDescent="0.3">
      <c r="A10" s="32"/>
      <c r="B10" s="14" t="s">
        <v>209</v>
      </c>
      <c r="C10" s="12"/>
      <c r="D10" s="87"/>
      <c r="E10" s="33"/>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34"/>
      <c r="AL10" s="88"/>
      <c r="AM10" s="88"/>
      <c r="AN10" s="88"/>
      <c r="AO10" s="88"/>
      <c r="AQ10" s="126">
        <v>1</v>
      </c>
      <c r="AR10" s="13" t="s">
        <v>480</v>
      </c>
      <c r="AU10" s="108"/>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107"/>
    </row>
    <row r="11" spans="1:87" ht="4.95" customHeight="1" x14ac:dyDescent="0.3">
      <c r="A11" s="38"/>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39"/>
      <c r="AL11" s="88"/>
      <c r="AM11" s="88"/>
      <c r="AN11" s="88"/>
      <c r="AO11" s="88"/>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84"/>
    </row>
    <row r="12" spans="1:87" ht="14.55" customHeight="1" x14ac:dyDescent="0.3">
      <c r="B12" s="1" t="s">
        <v>0</v>
      </c>
      <c r="C12" s="1"/>
      <c r="D12" s="1"/>
      <c r="E12" s="1"/>
      <c r="F12" s="1"/>
      <c r="G12" s="1"/>
      <c r="H12" s="1"/>
      <c r="I12" s="1"/>
      <c r="AD12" s="2"/>
      <c r="AE12" s="206"/>
      <c r="AF12" s="206"/>
      <c r="AG12" s="206"/>
      <c r="AH12" s="206"/>
      <c r="AI12" s="206"/>
      <c r="AJ12" s="206"/>
      <c r="AL12" s="88"/>
      <c r="AQ12" s="126">
        <f>AQ10+1</f>
        <v>2</v>
      </c>
      <c r="AR12" s="40" t="s">
        <v>458</v>
      </c>
      <c r="AU12" s="108"/>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107"/>
    </row>
    <row r="13" spans="1:87" ht="14.55" customHeight="1" x14ac:dyDescent="0.3">
      <c r="D13" s="2" t="s">
        <v>146</v>
      </c>
      <c r="E13" s="205"/>
      <c r="F13" s="205"/>
      <c r="G13" s="205"/>
      <c r="H13" s="205"/>
      <c r="I13" s="205"/>
      <c r="J13" s="205"/>
      <c r="K13" s="205"/>
      <c r="L13" s="205"/>
      <c r="M13" s="205"/>
      <c r="N13" s="205"/>
      <c r="O13" s="205"/>
      <c r="P13" s="205"/>
      <c r="Q13" s="205"/>
      <c r="R13" s="205"/>
      <c r="S13" s="205"/>
      <c r="T13" s="205"/>
      <c r="U13" s="205"/>
      <c r="V13" s="205"/>
      <c r="W13" s="205"/>
      <c r="X13" s="205"/>
      <c r="AD13" s="2" t="s">
        <v>21</v>
      </c>
      <c r="AE13" s="208"/>
      <c r="AF13" s="208"/>
      <c r="AG13" s="208"/>
      <c r="AH13" s="208"/>
      <c r="AI13" s="208"/>
      <c r="AJ13" s="208"/>
      <c r="AL13" s="88"/>
      <c r="AR13" s="40" t="s">
        <v>459</v>
      </c>
      <c r="AU13" s="108"/>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108"/>
    </row>
    <row r="14" spans="1:87" ht="14.55" customHeight="1" x14ac:dyDescent="0.3">
      <c r="D14" s="2" t="s">
        <v>147</v>
      </c>
      <c r="E14" s="207"/>
      <c r="F14" s="207"/>
      <c r="G14" s="207"/>
      <c r="H14" s="207"/>
      <c r="I14" s="207"/>
      <c r="J14" s="207"/>
      <c r="K14" s="207"/>
      <c r="L14" s="207"/>
      <c r="M14" s="207"/>
      <c r="N14" s="207"/>
      <c r="O14" s="207"/>
      <c r="P14" s="207"/>
      <c r="Q14" s="207"/>
      <c r="R14" s="207"/>
      <c r="S14" s="207"/>
      <c r="T14" s="207"/>
      <c r="U14" s="207"/>
      <c r="V14" s="207"/>
      <c r="W14" s="207"/>
      <c r="X14" s="207"/>
      <c r="AD14" s="2" t="s">
        <v>35</v>
      </c>
      <c r="AE14" s="209"/>
      <c r="AF14" s="209"/>
      <c r="AG14" s="209"/>
      <c r="AH14" s="209"/>
      <c r="AI14" s="209"/>
      <c r="AJ14" s="209"/>
      <c r="AQ14" s="126">
        <f>AQ12+1</f>
        <v>3</v>
      </c>
      <c r="AR14" s="40" t="s">
        <v>338</v>
      </c>
      <c r="AU14" s="108"/>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108"/>
    </row>
    <row r="15" spans="1:87" ht="4.95"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91"/>
      <c r="AM15" s="91"/>
      <c r="AN15" s="91"/>
      <c r="AO15" s="91"/>
      <c r="AU15" s="119"/>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107"/>
    </row>
    <row r="16" spans="1:87" ht="14.55" customHeight="1" x14ac:dyDescent="0.3">
      <c r="E16" s="2" t="s">
        <v>213</v>
      </c>
      <c r="F16" s="77"/>
      <c r="G16" s="40" t="s">
        <v>140</v>
      </c>
      <c r="O16" s="77"/>
      <c r="P16" s="40" t="s">
        <v>141</v>
      </c>
      <c r="X16" s="77"/>
      <c r="Y16" s="40" t="s">
        <v>142</v>
      </c>
      <c r="AR16" s="40" t="s">
        <v>339</v>
      </c>
      <c r="AU16" s="108"/>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107"/>
    </row>
    <row r="17" spans="2:75" ht="4.95" customHeight="1" x14ac:dyDescent="0.3">
      <c r="C17" s="2"/>
      <c r="D17" s="2"/>
      <c r="E17" s="2"/>
      <c r="F17" s="2"/>
      <c r="G17" s="2"/>
      <c r="H17" s="2"/>
      <c r="I17" s="2"/>
      <c r="AU17" s="108"/>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108"/>
    </row>
    <row r="18" spans="2:75" ht="14.55" customHeight="1" x14ac:dyDescent="0.3">
      <c r="C18" s="2"/>
      <c r="D18" s="2"/>
      <c r="E18" s="2"/>
      <c r="F18" s="77"/>
      <c r="G18" s="40" t="s">
        <v>225</v>
      </c>
      <c r="O18" s="77"/>
      <c r="P18" s="40" t="s">
        <v>226</v>
      </c>
      <c r="X18" s="77"/>
      <c r="Y18" s="40" t="s">
        <v>227</v>
      </c>
      <c r="AR18" s="108" t="str">
        <f>"by the "&amp;Tables!$C$23&amp;" Engineer;"</f>
        <v>by the City Engineer;</v>
      </c>
      <c r="AU18" s="108"/>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108"/>
    </row>
    <row r="19" spans="2:75" ht="4.95" customHeight="1" x14ac:dyDescent="0.3">
      <c r="C19" s="2"/>
      <c r="D19" s="2"/>
      <c r="E19" s="2"/>
      <c r="F19" s="2"/>
      <c r="G19" s="2"/>
      <c r="H19" s="2"/>
      <c r="I19" s="2"/>
      <c r="BW19" s="108"/>
    </row>
    <row r="20" spans="2:75" ht="14.55" customHeight="1" x14ac:dyDescent="0.3">
      <c r="D20" s="2"/>
      <c r="E20" s="2"/>
      <c r="F20" s="2"/>
      <c r="H20" s="2" t="s">
        <v>52</v>
      </c>
      <c r="I20" s="2"/>
      <c r="J20" s="201"/>
      <c r="K20" s="201"/>
      <c r="L20" s="201"/>
      <c r="M20" s="201"/>
      <c r="N20" s="40" t="s">
        <v>37</v>
      </c>
      <c r="AQ20" s="126">
        <f>AQ14+1</f>
        <v>4</v>
      </c>
      <c r="AR20" s="97" t="s">
        <v>340</v>
      </c>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107"/>
    </row>
    <row r="21" spans="2:75" ht="14.55" customHeight="1" x14ac:dyDescent="0.3">
      <c r="B21" s="40" t="s">
        <v>2</v>
      </c>
      <c r="Z21" s="2" t="s">
        <v>36</v>
      </c>
      <c r="AA21" s="201"/>
      <c r="AB21" s="201"/>
      <c r="AC21" s="201"/>
      <c r="AD21" s="201"/>
      <c r="AE21" s="40" t="s">
        <v>37</v>
      </c>
      <c r="AQ21" s="108"/>
      <c r="AR21" s="97" t="str">
        <f>"pre-development hydrology for the "&amp;Tables!C28&amp;"-year, 24-hour rainfall depths;"</f>
        <v>pre-development hydrology for the 2, 5, 10, and 25-year, 24-hour rainfall depths;</v>
      </c>
      <c r="AS21" s="97"/>
      <c r="AT21" s="9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107"/>
    </row>
    <row r="22" spans="2:75" ht="14.55" customHeight="1" x14ac:dyDescent="0.3">
      <c r="D22" s="2"/>
      <c r="E22" s="2"/>
      <c r="F22" s="2"/>
      <c r="G22" s="2"/>
      <c r="I22" s="2" t="s">
        <v>214</v>
      </c>
      <c r="J22" s="201"/>
      <c r="K22" s="201"/>
      <c r="L22" s="201"/>
      <c r="M22" s="201"/>
      <c r="N22" s="40" t="s">
        <v>37</v>
      </c>
      <c r="S22" s="40" t="s">
        <v>58</v>
      </c>
      <c r="AQ22" s="126">
        <f>AQ20+1</f>
        <v>5</v>
      </c>
      <c r="AR22" s="40" t="s">
        <v>460</v>
      </c>
      <c r="AS22" s="13"/>
      <c r="AT22" s="9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107"/>
    </row>
    <row r="23" spans="2:75" ht="14.55" customHeight="1" x14ac:dyDescent="0.3">
      <c r="D23" s="2"/>
      <c r="E23" s="2"/>
      <c r="F23" s="2"/>
      <c r="G23" s="2"/>
      <c r="I23" s="2" t="s">
        <v>215</v>
      </c>
      <c r="J23" s="191"/>
      <c r="K23" s="191"/>
      <c r="L23" s="191"/>
      <c r="M23" s="191"/>
      <c r="N23" s="40" t="s">
        <v>37</v>
      </c>
      <c r="V23" s="2" t="s">
        <v>59</v>
      </c>
      <c r="W23" s="212">
        <f>IF(AL23=1,"0.00",IFERROR(IF($J$27-$AA$21&lt;0,0,$J$27-$AA$21),""))</f>
        <v>0</v>
      </c>
      <c r="X23" s="212"/>
      <c r="Y23" s="212"/>
      <c r="Z23" s="212"/>
      <c r="AA23" s="40" t="s">
        <v>37</v>
      </c>
      <c r="AL23" s="128">
        <f>IF(AND(J27=0,ISBLANK(AA21)),0,IF(OR(J27-AA21=0,J27-AA21&lt;0),1,2))</f>
        <v>0</v>
      </c>
      <c r="AQ23" s="126"/>
      <c r="AR23" s="40" t="s">
        <v>461</v>
      </c>
      <c r="AT23" s="13"/>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107"/>
    </row>
    <row r="24" spans="2:75" ht="14.55" customHeight="1" x14ac:dyDescent="0.3">
      <c r="D24" s="2"/>
      <c r="E24" s="2"/>
      <c r="F24" s="2"/>
      <c r="G24" s="2"/>
      <c r="I24" s="2" t="s">
        <v>216</v>
      </c>
      <c r="J24" s="191"/>
      <c r="K24" s="191"/>
      <c r="L24" s="191"/>
      <c r="M24" s="191"/>
      <c r="N24" s="40" t="s">
        <v>37</v>
      </c>
      <c r="S24" s="40" t="s">
        <v>38</v>
      </c>
      <c r="AQ24" s="126"/>
      <c r="AR24" s="40" t="s">
        <v>341</v>
      </c>
      <c r="AS24" s="108"/>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107"/>
    </row>
    <row r="25" spans="2:75" ht="14.55" customHeight="1" x14ac:dyDescent="0.3">
      <c r="D25" s="2"/>
      <c r="E25" s="2"/>
      <c r="F25" s="2"/>
      <c r="G25" s="2"/>
      <c r="I25" s="2" t="s">
        <v>217</v>
      </c>
      <c r="J25" s="191"/>
      <c r="K25" s="191"/>
      <c r="L25" s="191"/>
      <c r="M25" s="191"/>
      <c r="N25" s="40" t="s">
        <v>37</v>
      </c>
      <c r="V25" s="2" t="s">
        <v>40</v>
      </c>
      <c r="W25" s="40" t="str">
        <f>"AIA acres X "&amp;Tables!D15&amp; " in X 3,630"</f>
        <v>AIA acres X 1.10 in X 3,630</v>
      </c>
      <c r="AQ25" s="126">
        <f>AQ22+1</f>
        <v>6</v>
      </c>
      <c r="AR25" s="40" t="s">
        <v>342</v>
      </c>
      <c r="AS25" s="108"/>
      <c r="AT25" s="108"/>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107"/>
    </row>
    <row r="26" spans="2:75" ht="14.55" customHeight="1" thickBot="1" x14ac:dyDescent="0.35">
      <c r="D26" s="2"/>
      <c r="E26" s="2"/>
      <c r="F26" s="2"/>
      <c r="G26" s="2"/>
      <c r="I26" s="2" t="s">
        <v>218</v>
      </c>
      <c r="J26" s="214"/>
      <c r="K26" s="214"/>
      <c r="L26" s="214"/>
      <c r="M26" s="214"/>
      <c r="N26" s="40" t="s">
        <v>37</v>
      </c>
      <c r="V26" s="2" t="s">
        <v>40</v>
      </c>
      <c r="W26" s="212">
        <f>IF(AL23=1,"0.00",IFERROR(IF($J$27-$AA$21&lt;0,0,$J$27-$AA$21),""))</f>
        <v>0</v>
      </c>
      <c r="X26" s="212"/>
      <c r="Y26" s="212"/>
      <c r="Z26" s="212"/>
      <c r="AA26" s="40" t="str">
        <f>"acres X "&amp;Tables!D15&amp;" in X 3,630"</f>
        <v>acres X 1.10 in X 3,630</v>
      </c>
      <c r="AQ26" s="126"/>
      <c r="AR26" s="40" t="s">
        <v>462</v>
      </c>
      <c r="AS26" s="108"/>
      <c r="AT26" s="108"/>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108"/>
    </row>
    <row r="27" spans="2:75" ht="14.55" customHeight="1" thickTop="1" x14ac:dyDescent="0.3">
      <c r="D27" s="2"/>
      <c r="E27" s="2"/>
      <c r="F27" s="2"/>
      <c r="G27" s="2"/>
      <c r="I27" s="2" t="s">
        <v>219</v>
      </c>
      <c r="J27" s="212">
        <f>IF(SUM($J$22:$J$26)=0,0,SUM($J$22:$J$26))</f>
        <v>0</v>
      </c>
      <c r="K27" s="212"/>
      <c r="L27" s="212"/>
      <c r="M27" s="212"/>
      <c r="N27" s="40" t="s">
        <v>37</v>
      </c>
      <c r="V27" s="2" t="s">
        <v>40</v>
      </c>
      <c r="W27" s="213">
        <f>IF(AL23=1,"0",IFERROR(ROUND(IF(($J$27-$AA$21)*Tables!C15*3630&lt;0,0,($J$27-$AA$21)*Tables!C15*3630),0),""))</f>
        <v>0</v>
      </c>
      <c r="X27" s="213"/>
      <c r="Y27" s="213"/>
      <c r="Z27" s="213"/>
      <c r="AA27" s="40" t="s">
        <v>39</v>
      </c>
      <c r="AQ27" s="126">
        <f>AQ25+1</f>
        <v>7</v>
      </c>
      <c r="AR27" s="40" t="s">
        <v>463</v>
      </c>
      <c r="AT27" s="108"/>
      <c r="AU27" s="108"/>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107"/>
    </row>
    <row r="28" spans="2:75" ht="4.95" customHeight="1" x14ac:dyDescent="0.3">
      <c r="AQ28" s="126"/>
      <c r="AT28" s="108"/>
      <c r="AU28" s="108"/>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107"/>
    </row>
    <row r="29" spans="2:75" ht="13.95" customHeight="1" x14ac:dyDescent="0.3">
      <c r="B29" s="1" t="s">
        <v>3</v>
      </c>
      <c r="C29" s="1"/>
      <c r="D29" s="1"/>
      <c r="E29" s="1"/>
      <c r="F29" s="1"/>
      <c r="G29" s="1"/>
      <c r="H29" s="1"/>
      <c r="I29" s="1"/>
      <c r="O29" s="2" t="s">
        <v>230</v>
      </c>
      <c r="P29" s="77"/>
      <c r="Q29" s="40" t="s">
        <v>232</v>
      </c>
      <c r="S29" s="77"/>
      <c r="T29" s="40" t="s">
        <v>233</v>
      </c>
      <c r="V29" s="77"/>
      <c r="W29" s="40" t="s">
        <v>234</v>
      </c>
      <c r="Y29" s="77"/>
      <c r="Z29" s="40" t="s">
        <v>235</v>
      </c>
      <c r="AL29" s="128">
        <f>IF(AND(ISBLANK(P29),ISBLANK(S29),ISBLANK(V29),ISBLANK(Y29)),1,2)</f>
        <v>1</v>
      </c>
      <c r="AQ29" s="108"/>
      <c r="AR29" s="40" t="s">
        <v>464</v>
      </c>
      <c r="AU29" s="108"/>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108"/>
    </row>
    <row r="30" spans="2:75" s="15" customFormat="1" ht="15" hidden="1" customHeight="1" x14ac:dyDescent="0.3">
      <c r="B30" s="92"/>
      <c r="C30" s="92"/>
      <c r="D30" s="92"/>
      <c r="E30" s="92"/>
      <c r="F30" s="92"/>
      <c r="G30" s="92"/>
      <c r="H30" s="92"/>
      <c r="I30" s="92"/>
      <c r="L30" s="210">
        <f>IF(ISBLANK(L31),1,2)</f>
        <v>1</v>
      </c>
      <c r="M30" s="210"/>
      <c r="N30" s="210"/>
      <c r="O30" s="93"/>
      <c r="P30" s="215">
        <f>IF(ISBLANK(P31),1,2)</f>
        <v>1</v>
      </c>
      <c r="Q30" s="215"/>
      <c r="R30" s="215"/>
      <c r="S30" s="93"/>
      <c r="T30" s="215">
        <f>IF(ISBLANK(T31),1,2)</f>
        <v>1</v>
      </c>
      <c r="U30" s="215"/>
      <c r="V30" s="215"/>
      <c r="X30" s="210">
        <f>IF(ISBLANK(X31),1,2)</f>
        <v>1</v>
      </c>
      <c r="Y30" s="210"/>
      <c r="Z30" s="210"/>
      <c r="AB30" s="210">
        <f>IF(ISBLANK(AB31),1,2)</f>
        <v>1</v>
      </c>
      <c r="AC30" s="210"/>
      <c r="AD30" s="210"/>
      <c r="BW30" s="109"/>
    </row>
    <row r="31" spans="2:75" ht="13.95" customHeight="1" x14ac:dyDescent="0.3">
      <c r="I31" s="2"/>
      <c r="J31" s="2" t="s">
        <v>51</v>
      </c>
      <c r="K31" s="2"/>
      <c r="L31" s="206"/>
      <c r="M31" s="206"/>
      <c r="N31" s="206"/>
      <c r="P31" s="206"/>
      <c r="Q31" s="206"/>
      <c r="R31" s="206"/>
      <c r="T31" s="206"/>
      <c r="U31" s="206"/>
      <c r="V31" s="206"/>
      <c r="W31" s="4"/>
      <c r="X31" s="206"/>
      <c r="Y31" s="206"/>
      <c r="Z31" s="206"/>
      <c r="AB31" s="206"/>
      <c r="AC31" s="206"/>
      <c r="AD31" s="206"/>
      <c r="AE31" s="4"/>
      <c r="AF31" s="184" t="s">
        <v>13</v>
      </c>
      <c r="AG31" s="184"/>
      <c r="AH31" s="184"/>
      <c r="AI31" s="4"/>
      <c r="AJ31" s="4"/>
      <c r="AQ31" s="126">
        <f>AQ27+1</f>
        <v>8</v>
      </c>
      <c r="AR31" s="40" t="s">
        <v>465</v>
      </c>
      <c r="AU31" s="108"/>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row>
    <row r="32" spans="2:75" ht="13.95" customHeight="1" x14ac:dyDescent="0.3">
      <c r="I32" s="2"/>
      <c r="J32" s="2" t="s">
        <v>143</v>
      </c>
      <c r="K32" s="2"/>
      <c r="L32" s="191"/>
      <c r="M32" s="191"/>
      <c r="N32" s="191"/>
      <c r="P32" s="191"/>
      <c r="Q32" s="191"/>
      <c r="R32" s="191"/>
      <c r="T32" s="191"/>
      <c r="U32" s="191"/>
      <c r="V32" s="191"/>
      <c r="W32" s="4"/>
      <c r="X32" s="191"/>
      <c r="Y32" s="191"/>
      <c r="Z32" s="191"/>
      <c r="AB32" s="191"/>
      <c r="AC32" s="191"/>
      <c r="AD32" s="191"/>
      <c r="AE32" s="4"/>
      <c r="AF32" s="201"/>
      <c r="AG32" s="201"/>
      <c r="AH32" s="201"/>
      <c r="AI32" s="4"/>
      <c r="AJ32" s="4"/>
      <c r="AQ32" s="108"/>
      <c r="AR32" s="40" t="s">
        <v>343</v>
      </c>
      <c r="AU32" s="108"/>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107"/>
    </row>
    <row r="33" spans="2:76" ht="13.95" customHeight="1" x14ac:dyDescent="0.3">
      <c r="I33" s="2"/>
      <c r="J33" s="2" t="s">
        <v>4</v>
      </c>
      <c r="K33" s="2"/>
      <c r="L33" s="177"/>
      <c r="M33" s="177"/>
      <c r="N33" s="177"/>
      <c r="P33" s="178"/>
      <c r="Q33" s="178"/>
      <c r="R33" s="178"/>
      <c r="S33" s="94"/>
      <c r="T33" s="178"/>
      <c r="U33" s="178"/>
      <c r="V33" s="178"/>
      <c r="W33" s="4"/>
      <c r="X33" s="178"/>
      <c r="Y33" s="178"/>
      <c r="Z33" s="178"/>
      <c r="AB33" s="178"/>
      <c r="AC33" s="178"/>
      <c r="AD33" s="178"/>
      <c r="AE33" s="4"/>
      <c r="AF33" s="178"/>
      <c r="AG33" s="178"/>
      <c r="AH33" s="178"/>
      <c r="AI33" s="4"/>
      <c r="AJ33" s="4"/>
      <c r="AQ33" s="108"/>
      <c r="AR33" s="40" t="s">
        <v>344</v>
      </c>
      <c r="AS33" s="108"/>
      <c r="AU33" s="108"/>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36"/>
    </row>
    <row r="34" spans="2:76" ht="13.95" customHeight="1" x14ac:dyDescent="0.3">
      <c r="I34" s="2"/>
      <c r="J34" s="2" t="s">
        <v>57</v>
      </c>
      <c r="K34" s="2"/>
      <c r="L34" s="176"/>
      <c r="M34" s="176"/>
      <c r="N34" s="176"/>
      <c r="P34" s="182"/>
      <c r="Q34" s="182"/>
      <c r="R34" s="182"/>
      <c r="S34" s="45"/>
      <c r="T34" s="182"/>
      <c r="U34" s="182"/>
      <c r="V34" s="182"/>
      <c r="W34" s="4"/>
      <c r="X34" s="182"/>
      <c r="Y34" s="182"/>
      <c r="Z34" s="182"/>
      <c r="AB34" s="182"/>
      <c r="AC34" s="182"/>
      <c r="AD34" s="182"/>
      <c r="AE34" s="4"/>
      <c r="AF34" s="182"/>
      <c r="AG34" s="182"/>
      <c r="AH34" s="182"/>
      <c r="AI34" s="4"/>
      <c r="AJ34" s="4"/>
      <c r="AL34" s="131">
        <f>SUM(AL35:AL40)</f>
        <v>0</v>
      </c>
      <c r="AM34" s="128">
        <f>SUM(AM35:AM40)</f>
        <v>0</v>
      </c>
      <c r="AN34" s="15" t="s">
        <v>13</v>
      </c>
      <c r="AR34" s="40" t="s">
        <v>345</v>
      </c>
      <c r="AS34" s="108"/>
      <c r="AT34" s="108"/>
      <c r="AU34" s="108"/>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row>
    <row r="35" spans="2:76" ht="13.95" customHeight="1" x14ac:dyDescent="0.3">
      <c r="D35" s="185" t="s">
        <v>517</v>
      </c>
      <c r="E35" s="185"/>
      <c r="F35" s="190">
        <f>Tables!$C$16</f>
        <v>4.21</v>
      </c>
      <c r="G35" s="190"/>
      <c r="H35" s="45"/>
      <c r="J35" s="2" t="str">
        <f>Tables!$A$16</f>
        <v>(2-yr)</v>
      </c>
      <c r="K35" s="2"/>
      <c r="L35" s="201"/>
      <c r="M35" s="201"/>
      <c r="N35" s="201"/>
      <c r="P35" s="201"/>
      <c r="Q35" s="201"/>
      <c r="R35" s="201"/>
      <c r="S35" s="51"/>
      <c r="T35" s="201"/>
      <c r="U35" s="201"/>
      <c r="V35" s="201"/>
      <c r="W35" s="4"/>
      <c r="X35" s="201"/>
      <c r="Y35" s="201"/>
      <c r="Z35" s="201"/>
      <c r="AB35" s="201"/>
      <c r="AC35" s="201"/>
      <c r="AD35" s="201"/>
      <c r="AE35" s="4"/>
      <c r="AF35" s="201"/>
      <c r="AG35" s="201"/>
      <c r="AH35" s="201"/>
      <c r="AI35" s="4"/>
      <c r="AJ35" s="4"/>
      <c r="AL35" s="128"/>
      <c r="AM35" s="128">
        <f t="shared" ref="AM35:AM40" si="0">IF(ISBLANK(AF35),0,1)</f>
        <v>0</v>
      </c>
      <c r="AQ35" s="25"/>
      <c r="AR35" s="40" t="s">
        <v>346</v>
      </c>
      <c r="AS35" s="119"/>
      <c r="AT35" s="108"/>
      <c r="AU35" s="108"/>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row>
    <row r="36" spans="2:76" ht="13.95" customHeight="1" x14ac:dyDescent="0.3">
      <c r="D36" s="185"/>
      <c r="E36" s="185"/>
      <c r="F36" s="190">
        <f>Tables!$C$17</f>
        <v>5.24</v>
      </c>
      <c r="G36" s="190"/>
      <c r="H36" s="45"/>
      <c r="J36" s="2" t="str">
        <f>Tables!$A$17</f>
        <v>(5-yr)</v>
      </c>
      <c r="K36" s="2"/>
      <c r="L36" s="201"/>
      <c r="M36" s="201"/>
      <c r="N36" s="201"/>
      <c r="P36" s="201"/>
      <c r="Q36" s="201"/>
      <c r="R36" s="201"/>
      <c r="S36" s="51"/>
      <c r="T36" s="191"/>
      <c r="U36" s="191"/>
      <c r="V36" s="191"/>
      <c r="W36" s="4"/>
      <c r="X36" s="191"/>
      <c r="Y36" s="191"/>
      <c r="Z36" s="191"/>
      <c r="AB36" s="191"/>
      <c r="AC36" s="191"/>
      <c r="AD36" s="191"/>
      <c r="AE36" s="4"/>
      <c r="AF36" s="191"/>
      <c r="AG36" s="191"/>
      <c r="AH36" s="191"/>
      <c r="AI36" s="4"/>
      <c r="AJ36" s="4"/>
      <c r="AL36" s="128">
        <f t="shared" ref="AL36:AL40" si="1">IF(AF36=0,0,1)</f>
        <v>0</v>
      </c>
      <c r="AM36" s="128">
        <f t="shared" si="0"/>
        <v>0</v>
      </c>
      <c r="AQ36" s="126">
        <f>AQ31+1</f>
        <v>9</v>
      </c>
      <c r="AR36" s="40" t="s">
        <v>390</v>
      </c>
      <c r="AS36" s="108"/>
      <c r="AT36" s="108"/>
      <c r="BX36" s="84"/>
    </row>
    <row r="37" spans="2:76" ht="13.95" customHeight="1" x14ac:dyDescent="0.3">
      <c r="D37" s="185"/>
      <c r="E37" s="185"/>
      <c r="F37" s="190">
        <f>Tables!$C$18</f>
        <v>6.17</v>
      </c>
      <c r="G37" s="190"/>
      <c r="H37" s="45"/>
      <c r="J37" s="2" t="str">
        <f>Tables!$A$18</f>
        <v>(10-yr)</v>
      </c>
      <c r="K37" s="2"/>
      <c r="L37" s="201"/>
      <c r="M37" s="201"/>
      <c r="N37" s="201"/>
      <c r="P37" s="191"/>
      <c r="Q37" s="191"/>
      <c r="R37" s="191"/>
      <c r="S37" s="51"/>
      <c r="T37" s="191"/>
      <c r="U37" s="191"/>
      <c r="V37" s="191"/>
      <c r="W37" s="4"/>
      <c r="X37" s="191"/>
      <c r="Y37" s="191"/>
      <c r="Z37" s="191"/>
      <c r="AB37" s="191"/>
      <c r="AC37" s="191"/>
      <c r="AD37" s="191"/>
      <c r="AE37" s="4"/>
      <c r="AF37" s="191"/>
      <c r="AG37" s="191"/>
      <c r="AH37" s="191"/>
      <c r="AI37" s="4"/>
      <c r="AJ37" s="4"/>
      <c r="AL37" s="128">
        <f t="shared" si="1"/>
        <v>0</v>
      </c>
      <c r="AM37" s="128">
        <f t="shared" si="0"/>
        <v>0</v>
      </c>
      <c r="AQ37" s="126">
        <v>10</v>
      </c>
      <c r="AR37" s="40" t="s">
        <v>537</v>
      </c>
      <c r="AS37" s="108"/>
      <c r="AT37" s="119"/>
      <c r="AU37" s="25"/>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96"/>
    </row>
    <row r="38" spans="2:76" ht="13.95" customHeight="1" x14ac:dyDescent="0.3">
      <c r="D38" s="185"/>
      <c r="E38" s="185"/>
      <c r="F38" s="190">
        <f>Tables!$C$19</f>
        <v>7.55</v>
      </c>
      <c r="G38" s="190"/>
      <c r="H38" s="45"/>
      <c r="J38" s="2" t="str">
        <f>Tables!$A$19</f>
        <v>(25-yr)</v>
      </c>
      <c r="K38" s="2"/>
      <c r="L38" s="201"/>
      <c r="M38" s="201"/>
      <c r="N38" s="201"/>
      <c r="P38" s="191"/>
      <c r="Q38" s="191"/>
      <c r="R38" s="191"/>
      <c r="S38" s="51"/>
      <c r="T38" s="191"/>
      <c r="U38" s="191"/>
      <c r="V38" s="191"/>
      <c r="W38" s="4"/>
      <c r="X38" s="191"/>
      <c r="Y38" s="191"/>
      <c r="Z38" s="191"/>
      <c r="AB38" s="191"/>
      <c r="AC38" s="191"/>
      <c r="AD38" s="191"/>
      <c r="AE38" s="4"/>
      <c r="AF38" s="191"/>
      <c r="AG38" s="191"/>
      <c r="AH38" s="191"/>
      <c r="AI38" s="4"/>
      <c r="AJ38" s="4"/>
      <c r="AL38" s="128">
        <f t="shared" si="1"/>
        <v>0</v>
      </c>
      <c r="AM38" s="128">
        <f t="shared" si="0"/>
        <v>0</v>
      </c>
      <c r="AS38" s="108"/>
      <c r="AT38" s="108"/>
      <c r="BX38" s="96"/>
    </row>
    <row r="39" spans="2:76" ht="13.95" customHeight="1" x14ac:dyDescent="0.3">
      <c r="D39" s="185"/>
      <c r="E39" s="185"/>
      <c r="F39" s="190">
        <f>Tables!$C$20</f>
        <v>8.6999999999999993</v>
      </c>
      <c r="G39" s="190"/>
      <c r="H39" s="45"/>
      <c r="J39" s="2" t="str">
        <f>Tables!$A$20</f>
        <v>(50-yr)</v>
      </c>
      <c r="K39" s="2"/>
      <c r="L39" s="201"/>
      <c r="M39" s="201"/>
      <c r="N39" s="201"/>
      <c r="P39" s="191"/>
      <c r="Q39" s="191"/>
      <c r="R39" s="191"/>
      <c r="S39" s="51"/>
      <c r="T39" s="191"/>
      <c r="U39" s="191"/>
      <c r="V39" s="191"/>
      <c r="W39" s="4"/>
      <c r="X39" s="191"/>
      <c r="Y39" s="191"/>
      <c r="Z39" s="191"/>
      <c r="AB39" s="191"/>
      <c r="AC39" s="191"/>
      <c r="AD39" s="191"/>
      <c r="AE39" s="4"/>
      <c r="AF39" s="191"/>
      <c r="AG39" s="191"/>
      <c r="AH39" s="191"/>
      <c r="AI39" s="4"/>
      <c r="AJ39" s="4"/>
      <c r="AL39" s="128">
        <f t="shared" si="1"/>
        <v>0</v>
      </c>
      <c r="AM39" s="128">
        <f t="shared" si="0"/>
        <v>0</v>
      </c>
      <c r="AT39" s="108"/>
      <c r="BX39" s="96"/>
    </row>
    <row r="40" spans="2:76" ht="13.95" customHeight="1" x14ac:dyDescent="0.3">
      <c r="D40" s="185"/>
      <c r="E40" s="185"/>
      <c r="F40" s="190">
        <f>Tables!$C$21</f>
        <v>9.93</v>
      </c>
      <c r="G40" s="190"/>
      <c r="H40" s="45"/>
      <c r="J40" s="2" t="str">
        <f>Tables!$A$21</f>
        <v>(100-yr)</v>
      </c>
      <c r="K40" s="2"/>
      <c r="L40" s="201"/>
      <c r="M40" s="201"/>
      <c r="N40" s="201"/>
      <c r="P40" s="191"/>
      <c r="Q40" s="191"/>
      <c r="R40" s="191"/>
      <c r="S40" s="51"/>
      <c r="T40" s="191"/>
      <c r="U40" s="191"/>
      <c r="V40" s="191"/>
      <c r="W40" s="4"/>
      <c r="X40" s="191"/>
      <c r="Y40" s="191"/>
      <c r="Z40" s="191"/>
      <c r="AB40" s="191"/>
      <c r="AC40" s="191"/>
      <c r="AD40" s="191"/>
      <c r="AE40" s="4"/>
      <c r="AF40" s="191"/>
      <c r="AG40" s="191"/>
      <c r="AH40" s="191"/>
      <c r="AI40" s="4"/>
      <c r="AJ40" s="4"/>
      <c r="AL40" s="128">
        <f t="shared" si="1"/>
        <v>0</v>
      </c>
      <c r="AM40" s="128">
        <f t="shared" si="0"/>
        <v>0</v>
      </c>
      <c r="AT40" s="108"/>
      <c r="BX40" s="96"/>
    </row>
    <row r="41" spans="2:76" ht="4.95" customHeight="1" x14ac:dyDescent="0.3">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4"/>
      <c r="AL41" s="24"/>
      <c r="AM41" s="24"/>
      <c r="AT41" s="108"/>
      <c r="BX41" s="96"/>
    </row>
    <row r="42" spans="2:76" ht="13.95" customHeight="1" x14ac:dyDescent="0.3">
      <c r="B42" s="1" t="s">
        <v>11</v>
      </c>
      <c r="C42" s="1"/>
      <c r="D42" s="1"/>
      <c r="E42" s="1"/>
      <c r="F42" s="1"/>
      <c r="G42" s="1"/>
      <c r="H42" s="1"/>
      <c r="I42" s="1"/>
      <c r="O42" s="2" t="s">
        <v>230</v>
      </c>
      <c r="P42" s="77"/>
      <c r="Q42" s="40" t="s">
        <v>232</v>
      </c>
      <c r="S42" s="77"/>
      <c r="T42" s="40" t="s">
        <v>233</v>
      </c>
      <c r="V42" s="77"/>
      <c r="W42" s="40" t="s">
        <v>234</v>
      </c>
      <c r="Y42" s="77"/>
      <c r="Z42" s="40" t="s">
        <v>235</v>
      </c>
      <c r="AL42" s="128">
        <f>IF(AND(ISBLANK(P42),ISBLANK(S42),ISBLANK(V42),ISBLANK(Y42)),1,2)</f>
        <v>1</v>
      </c>
      <c r="AQ42" s="2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6"/>
    </row>
    <row r="43" spans="2:76" s="15" customFormat="1" ht="15" hidden="1" customHeight="1" x14ac:dyDescent="0.3">
      <c r="B43" s="92"/>
      <c r="C43" s="92"/>
      <c r="D43" s="92"/>
      <c r="E43" s="92"/>
      <c r="F43" s="92"/>
      <c r="G43" s="92"/>
      <c r="H43" s="92"/>
      <c r="I43" s="92"/>
      <c r="L43" s="210">
        <f>IF(ISBLANK(L44),1,2)</f>
        <v>1</v>
      </c>
      <c r="M43" s="210"/>
      <c r="N43" s="210"/>
      <c r="P43" s="210">
        <f>IF(ISBLANK(P44),1,2)</f>
        <v>1</v>
      </c>
      <c r="Q43" s="210"/>
      <c r="R43" s="210"/>
      <c r="T43" s="210">
        <f>IF(ISBLANK(T44),1,2)</f>
        <v>1</v>
      </c>
      <c r="U43" s="210"/>
      <c r="V43" s="210"/>
      <c r="X43" s="210">
        <f>IF(ISBLANK(X44),1,2)</f>
        <v>1</v>
      </c>
      <c r="Y43" s="210"/>
      <c r="Z43" s="210"/>
      <c r="AB43" s="210">
        <f>IF(ISBLANK(AB44),1,2)</f>
        <v>1</v>
      </c>
      <c r="AC43" s="210"/>
      <c r="AD43" s="210"/>
    </row>
    <row r="44" spans="2:76" ht="13.95" customHeight="1" x14ac:dyDescent="0.3">
      <c r="I44" s="2"/>
      <c r="J44" s="2" t="s">
        <v>51</v>
      </c>
      <c r="K44" s="2"/>
      <c r="L44" s="206"/>
      <c r="M44" s="206"/>
      <c r="N44" s="206"/>
      <c r="P44" s="206"/>
      <c r="Q44" s="206"/>
      <c r="R44" s="206"/>
      <c r="S44" s="4"/>
      <c r="T44" s="206"/>
      <c r="U44" s="206"/>
      <c r="V44" s="206"/>
      <c r="W44" s="4"/>
      <c r="X44" s="206"/>
      <c r="Y44" s="206"/>
      <c r="Z44" s="206"/>
      <c r="AB44" s="206"/>
      <c r="AC44" s="206"/>
      <c r="AD44" s="206"/>
      <c r="AE44" s="4"/>
      <c r="AG44" s="4" t="s">
        <v>12</v>
      </c>
      <c r="AH44" s="4"/>
      <c r="AI44" s="4"/>
      <c r="AJ44" s="4"/>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96"/>
    </row>
    <row r="45" spans="2:76" ht="13.95" customHeight="1" x14ac:dyDescent="0.3">
      <c r="I45" s="2"/>
      <c r="J45" s="2" t="s">
        <v>143</v>
      </c>
      <c r="K45" s="2"/>
      <c r="L45" s="201"/>
      <c r="M45" s="201"/>
      <c r="N45" s="201"/>
      <c r="P45" s="191"/>
      <c r="Q45" s="191"/>
      <c r="R45" s="191"/>
      <c r="S45" s="4"/>
      <c r="T45" s="191"/>
      <c r="U45" s="191"/>
      <c r="V45" s="191"/>
      <c r="W45" s="4"/>
      <c r="X45" s="191"/>
      <c r="Y45" s="191"/>
      <c r="Z45" s="191"/>
      <c r="AB45" s="191"/>
      <c r="AC45" s="191"/>
      <c r="AD45" s="191"/>
      <c r="AE45" s="4"/>
      <c r="AF45" s="201"/>
      <c r="AG45" s="201"/>
      <c r="AH45" s="201"/>
      <c r="AI45" s="4"/>
      <c r="AJ45" s="4"/>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211"/>
    </row>
    <row r="46" spans="2:76" ht="13.95" customHeight="1" x14ac:dyDescent="0.3">
      <c r="I46" s="2"/>
      <c r="J46" s="2" t="s">
        <v>4</v>
      </c>
      <c r="K46" s="2"/>
      <c r="L46" s="177"/>
      <c r="M46" s="177"/>
      <c r="N46" s="177"/>
      <c r="P46" s="178"/>
      <c r="Q46" s="178"/>
      <c r="R46" s="178"/>
      <c r="S46" s="4"/>
      <c r="T46" s="178"/>
      <c r="U46" s="178"/>
      <c r="V46" s="178"/>
      <c r="W46" s="4"/>
      <c r="X46" s="178"/>
      <c r="Y46" s="178"/>
      <c r="Z46" s="178"/>
      <c r="AB46" s="178"/>
      <c r="AC46" s="178"/>
      <c r="AD46" s="178"/>
      <c r="AE46" s="4"/>
      <c r="AF46" s="178"/>
      <c r="AG46" s="178"/>
      <c r="AH46" s="178"/>
      <c r="AI46" s="4"/>
      <c r="AJ46" s="4"/>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211"/>
    </row>
    <row r="47" spans="2:76" ht="13.95" customHeight="1" x14ac:dyDescent="0.3">
      <c r="I47" s="2"/>
      <c r="J47" s="2" t="s">
        <v>57</v>
      </c>
      <c r="K47" s="2"/>
      <c r="L47" s="176"/>
      <c r="M47" s="176"/>
      <c r="N47" s="176"/>
      <c r="P47" s="182"/>
      <c r="Q47" s="182"/>
      <c r="R47" s="182"/>
      <c r="S47" s="4"/>
      <c r="T47" s="182"/>
      <c r="U47" s="182"/>
      <c r="V47" s="182"/>
      <c r="W47" s="4"/>
      <c r="X47" s="182"/>
      <c r="Y47" s="182"/>
      <c r="Z47" s="182"/>
      <c r="AB47" s="182"/>
      <c r="AC47" s="182"/>
      <c r="AD47" s="182"/>
      <c r="AE47" s="4"/>
      <c r="AF47" s="182"/>
      <c r="AG47" s="182"/>
      <c r="AH47" s="182"/>
      <c r="AI47" s="4"/>
      <c r="AJ47" s="4"/>
      <c r="AL47" s="131">
        <f>SUM(AL48:AL53)</f>
        <v>0</v>
      </c>
      <c r="AM47" s="128">
        <f>SUM(AM48:AM53)</f>
        <v>0</v>
      </c>
      <c r="AN47" s="15" t="s">
        <v>12</v>
      </c>
      <c r="AS47" s="108"/>
      <c r="AT47" s="108"/>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7"/>
    </row>
    <row r="48" spans="2:76" ht="13.95" customHeight="1" x14ac:dyDescent="0.3">
      <c r="D48" s="185" t="s">
        <v>517</v>
      </c>
      <c r="E48" s="185"/>
      <c r="F48" s="190">
        <f>Tables!$C$16</f>
        <v>4.21</v>
      </c>
      <c r="G48" s="190"/>
      <c r="H48" s="45"/>
      <c r="J48" s="2" t="str">
        <f>Tables!$A$16</f>
        <v>(2-yr)</v>
      </c>
      <c r="K48" s="2"/>
      <c r="L48" s="201"/>
      <c r="M48" s="201"/>
      <c r="N48" s="201"/>
      <c r="P48" s="201"/>
      <c r="Q48" s="201"/>
      <c r="R48" s="201"/>
      <c r="S48" s="4"/>
      <c r="T48" s="201"/>
      <c r="U48" s="201"/>
      <c r="V48" s="201"/>
      <c r="W48" s="4"/>
      <c r="X48" s="201"/>
      <c r="Y48" s="201"/>
      <c r="Z48" s="201"/>
      <c r="AB48" s="201"/>
      <c r="AC48" s="201"/>
      <c r="AD48" s="201"/>
      <c r="AE48" s="4"/>
      <c r="AF48" s="201"/>
      <c r="AG48" s="201"/>
      <c r="AH48" s="201"/>
      <c r="AI48" s="4"/>
      <c r="AJ48" s="4"/>
      <c r="AL48" s="128"/>
      <c r="AM48" s="128">
        <f t="shared" ref="AM48:AM53" si="2">IF(ISBLANK(AF48),0,1)</f>
        <v>0</v>
      </c>
      <c r="AS48" s="108"/>
      <c r="AT48" s="108"/>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7"/>
    </row>
    <row r="49" spans="2:76" ht="13.95" customHeight="1" x14ac:dyDescent="0.3">
      <c r="D49" s="185"/>
      <c r="E49" s="185"/>
      <c r="F49" s="190">
        <f>Tables!$C$17</f>
        <v>5.24</v>
      </c>
      <c r="G49" s="190"/>
      <c r="H49" s="45"/>
      <c r="J49" s="2" t="str">
        <f>Tables!$A$17</f>
        <v>(5-yr)</v>
      </c>
      <c r="K49" s="2"/>
      <c r="L49" s="201"/>
      <c r="M49" s="201"/>
      <c r="N49" s="201"/>
      <c r="P49" s="191"/>
      <c r="Q49" s="191"/>
      <c r="R49" s="191"/>
      <c r="S49" s="4"/>
      <c r="T49" s="191"/>
      <c r="U49" s="191"/>
      <c r="V49" s="191"/>
      <c r="W49" s="4"/>
      <c r="X49" s="191"/>
      <c r="Y49" s="191"/>
      <c r="Z49" s="191"/>
      <c r="AB49" s="191"/>
      <c r="AC49" s="191"/>
      <c r="AD49" s="191"/>
      <c r="AE49" s="4"/>
      <c r="AF49" s="191"/>
      <c r="AG49" s="191"/>
      <c r="AH49" s="191"/>
      <c r="AI49" s="4"/>
      <c r="AJ49" s="4"/>
      <c r="AL49" s="128">
        <f t="shared" ref="AL49:AL53" si="3">IF(AF49=0,0,1)</f>
        <v>0</v>
      </c>
      <c r="AM49" s="128">
        <f t="shared" si="2"/>
        <v>0</v>
      </c>
      <c r="AS49" s="108"/>
      <c r="AT49" s="108"/>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7"/>
    </row>
    <row r="50" spans="2:76" ht="13.95" customHeight="1" x14ac:dyDescent="0.3">
      <c r="D50" s="185"/>
      <c r="E50" s="185"/>
      <c r="F50" s="190">
        <f>Tables!$C$18</f>
        <v>6.17</v>
      </c>
      <c r="G50" s="190"/>
      <c r="H50" s="45"/>
      <c r="J50" s="2" t="str">
        <f>Tables!$A$18</f>
        <v>(10-yr)</v>
      </c>
      <c r="K50" s="2"/>
      <c r="L50" s="201"/>
      <c r="M50" s="201"/>
      <c r="N50" s="201"/>
      <c r="P50" s="191"/>
      <c r="Q50" s="191"/>
      <c r="R50" s="191"/>
      <c r="S50" s="4"/>
      <c r="T50" s="191"/>
      <c r="U50" s="191"/>
      <c r="V50" s="191"/>
      <c r="W50" s="4"/>
      <c r="X50" s="191"/>
      <c r="Y50" s="191"/>
      <c r="Z50" s="191"/>
      <c r="AB50" s="191"/>
      <c r="AC50" s="191"/>
      <c r="AD50" s="191"/>
      <c r="AE50" s="4"/>
      <c r="AF50" s="191"/>
      <c r="AG50" s="191"/>
      <c r="AH50" s="191"/>
      <c r="AI50" s="4"/>
      <c r="AJ50" s="4"/>
      <c r="AL50" s="128">
        <f t="shared" si="3"/>
        <v>0</v>
      </c>
      <c r="AM50" s="128">
        <f t="shared" si="2"/>
        <v>0</v>
      </c>
      <c r="AS50" s="108"/>
      <c r="AT50" s="108"/>
      <c r="BX50" s="37"/>
    </row>
    <row r="51" spans="2:76" ht="13.95" customHeight="1" x14ac:dyDescent="0.3">
      <c r="D51" s="185"/>
      <c r="E51" s="185"/>
      <c r="F51" s="190">
        <f>Tables!$C$19</f>
        <v>7.55</v>
      </c>
      <c r="G51" s="190"/>
      <c r="H51" s="45"/>
      <c r="J51" s="2" t="str">
        <f>Tables!$A$19</f>
        <v>(25-yr)</v>
      </c>
      <c r="K51" s="2"/>
      <c r="L51" s="201"/>
      <c r="M51" s="201"/>
      <c r="N51" s="201"/>
      <c r="P51" s="191"/>
      <c r="Q51" s="191"/>
      <c r="R51" s="191"/>
      <c r="S51" s="4"/>
      <c r="T51" s="191"/>
      <c r="U51" s="191"/>
      <c r="V51" s="191"/>
      <c r="W51" s="4"/>
      <c r="X51" s="191"/>
      <c r="Y51" s="191"/>
      <c r="Z51" s="191"/>
      <c r="AB51" s="191"/>
      <c r="AC51" s="191"/>
      <c r="AD51" s="191"/>
      <c r="AE51" s="4"/>
      <c r="AF51" s="191"/>
      <c r="AG51" s="191"/>
      <c r="AH51" s="191"/>
      <c r="AI51" s="4"/>
      <c r="AJ51" s="4"/>
      <c r="AL51" s="128">
        <f t="shared" si="3"/>
        <v>0</v>
      </c>
      <c r="AM51" s="128">
        <f t="shared" si="2"/>
        <v>0</v>
      </c>
      <c r="AS51" s="108"/>
      <c r="AT51" s="108"/>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7"/>
    </row>
    <row r="52" spans="2:76" ht="13.95" customHeight="1" x14ac:dyDescent="0.3">
      <c r="D52" s="185"/>
      <c r="E52" s="185"/>
      <c r="F52" s="190">
        <f>Tables!$C$20</f>
        <v>8.6999999999999993</v>
      </c>
      <c r="G52" s="190"/>
      <c r="H52" s="45"/>
      <c r="J52" s="2" t="str">
        <f>Tables!$A$20</f>
        <v>(50-yr)</v>
      </c>
      <c r="K52" s="2"/>
      <c r="L52" s="201"/>
      <c r="M52" s="201"/>
      <c r="N52" s="201"/>
      <c r="P52" s="191"/>
      <c r="Q52" s="191"/>
      <c r="R52" s="191"/>
      <c r="S52" s="4"/>
      <c r="T52" s="191"/>
      <c r="U52" s="191"/>
      <c r="V52" s="191"/>
      <c r="W52" s="4"/>
      <c r="X52" s="191"/>
      <c r="Y52" s="191"/>
      <c r="Z52" s="191"/>
      <c r="AB52" s="191"/>
      <c r="AC52" s="191"/>
      <c r="AD52" s="191"/>
      <c r="AE52" s="4"/>
      <c r="AF52" s="191"/>
      <c r="AG52" s="191"/>
      <c r="AH52" s="191"/>
      <c r="AI52" s="4"/>
      <c r="AJ52" s="4"/>
      <c r="AL52" s="128">
        <f t="shared" si="3"/>
        <v>0</v>
      </c>
      <c r="AM52" s="128">
        <f t="shared" si="2"/>
        <v>0</v>
      </c>
      <c r="AS52" s="108"/>
      <c r="AT52" s="108"/>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96"/>
    </row>
    <row r="53" spans="2:76" ht="13.95" customHeight="1" x14ac:dyDescent="0.3">
      <c r="D53" s="185"/>
      <c r="E53" s="185"/>
      <c r="F53" s="190">
        <f>Tables!$C$21</f>
        <v>9.93</v>
      </c>
      <c r="G53" s="190"/>
      <c r="H53" s="45"/>
      <c r="J53" s="2" t="str">
        <f>Tables!$A$21</f>
        <v>(100-yr)</v>
      </c>
      <c r="K53" s="2"/>
      <c r="L53" s="201"/>
      <c r="M53" s="201"/>
      <c r="N53" s="201"/>
      <c r="P53" s="191"/>
      <c r="Q53" s="191"/>
      <c r="R53" s="191"/>
      <c r="S53" s="4"/>
      <c r="T53" s="191"/>
      <c r="U53" s="191"/>
      <c r="V53" s="191"/>
      <c r="W53" s="4"/>
      <c r="X53" s="191"/>
      <c r="Y53" s="191"/>
      <c r="Z53" s="191"/>
      <c r="AB53" s="191"/>
      <c r="AC53" s="191"/>
      <c r="AD53" s="191"/>
      <c r="AE53" s="4"/>
      <c r="AF53" s="191"/>
      <c r="AG53" s="191"/>
      <c r="AH53" s="191"/>
      <c r="AI53" s="4"/>
      <c r="AJ53" s="4"/>
      <c r="AL53" s="128">
        <f t="shared" si="3"/>
        <v>0</v>
      </c>
      <c r="AM53" s="128">
        <f t="shared" si="2"/>
        <v>0</v>
      </c>
      <c r="AS53" s="108"/>
      <c r="AT53" s="108"/>
    </row>
    <row r="54" spans="2:76" ht="14.55" customHeight="1" x14ac:dyDescent="0.3">
      <c r="AK54" s="45"/>
      <c r="AS54" s="108"/>
      <c r="AT54" s="108"/>
    </row>
    <row r="55" spans="2:76" ht="14.55" customHeight="1" x14ac:dyDescent="0.3">
      <c r="J55" s="2" t="s">
        <v>518</v>
      </c>
      <c r="K55" s="77"/>
      <c r="L55" s="40" t="s">
        <v>130</v>
      </c>
      <c r="N55" s="77"/>
      <c r="O55" s="40" t="s">
        <v>131</v>
      </c>
      <c r="V55" s="2" t="s">
        <v>519</v>
      </c>
      <c r="W55" s="77"/>
      <c r="X55" s="40" t="s">
        <v>130</v>
      </c>
      <c r="Z55" s="77"/>
      <c r="AA55" s="40" t="s">
        <v>131</v>
      </c>
      <c r="AL55" s="128">
        <f>IF(AND(ISBLANK(K55),ISBLANK(N55)),1,2)</f>
        <v>1</v>
      </c>
      <c r="AM55" s="128">
        <f>IF(ISBLANK(K55),1,2)</f>
        <v>1</v>
      </c>
      <c r="AN55" s="128">
        <f>IF(AND(ISBLANK(W55),ISBLANK(Z55)),1,2)</f>
        <v>1</v>
      </c>
      <c r="AO55" s="128">
        <f>IF(ISBLANK(W55),1,2)</f>
        <v>1</v>
      </c>
      <c r="AS55" s="108"/>
      <c r="AT55" s="108"/>
    </row>
    <row r="56" spans="2:76" ht="14.55" customHeight="1" x14ac:dyDescent="0.3">
      <c r="AL56" s="24"/>
      <c r="AM56" s="24"/>
      <c r="AN56" s="24"/>
      <c r="AO56" s="24"/>
      <c r="AS56" s="108"/>
      <c r="AT56" s="108"/>
    </row>
    <row r="57" spans="2:76" ht="14.55" customHeight="1" x14ac:dyDescent="0.3">
      <c r="B57" s="216">
        <f>Tables!$C$13</f>
        <v>45383</v>
      </c>
      <c r="C57" s="216"/>
      <c r="D57" s="216"/>
      <c r="E57" s="216"/>
      <c r="F57" s="216"/>
      <c r="G57" s="216"/>
      <c r="H57" s="216"/>
      <c r="R57" s="184" t="s">
        <v>411</v>
      </c>
      <c r="S57" s="184"/>
      <c r="T57" s="184"/>
      <c r="U57" s="184"/>
      <c r="AK57" s="45"/>
    </row>
    <row r="58" spans="2:76" ht="15" customHeight="1" x14ac:dyDescent="0.3">
      <c r="C58" s="2" t="s">
        <v>1</v>
      </c>
      <c r="D58" s="187">
        <f>IF(ISBLANK($E$13),0,$E$13)</f>
        <v>0</v>
      </c>
      <c r="E58" s="187"/>
      <c r="F58" s="187"/>
      <c r="G58" s="187"/>
      <c r="H58" s="187"/>
      <c r="I58" s="187"/>
      <c r="J58" s="187"/>
      <c r="K58" s="187"/>
      <c r="L58" s="187"/>
      <c r="M58" s="187"/>
      <c r="N58" s="187"/>
      <c r="O58" s="187"/>
      <c r="P58" s="187"/>
      <c r="Q58" s="187"/>
      <c r="R58" s="187"/>
      <c r="S58" s="187"/>
      <c r="T58" s="187"/>
      <c r="U58" s="187"/>
      <c r="V58" s="187"/>
      <c r="W58" s="187"/>
      <c r="X58" s="187"/>
      <c r="Y58" s="187"/>
      <c r="AD58" s="2" t="s">
        <v>21</v>
      </c>
      <c r="AE58" s="188">
        <f>IF(ISBLANK($AE$13),0,$AE$13)</f>
        <v>0</v>
      </c>
      <c r="AF58" s="188"/>
      <c r="AG58" s="188"/>
      <c r="AH58" s="188"/>
      <c r="AI58" s="188"/>
      <c r="AJ58" s="188"/>
      <c r="AS58" s="25"/>
      <c r="AT58" s="25"/>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7"/>
    </row>
    <row r="59" spans="2:76" ht="15"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D59" s="2" t="s">
        <v>35</v>
      </c>
      <c r="AE59" s="189">
        <f>IF(ISBLANK($AE$14),0,$AE$14)</f>
        <v>0</v>
      </c>
      <c r="AF59" s="189"/>
      <c r="AG59" s="189"/>
      <c r="AH59" s="189"/>
      <c r="AI59" s="189"/>
      <c r="AJ59" s="189"/>
      <c r="AK59" s="2"/>
      <c r="AL59" s="91"/>
      <c r="AM59" s="91"/>
      <c r="AN59" s="91"/>
      <c r="AO59" s="91"/>
      <c r="AP59" s="2"/>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7"/>
    </row>
    <row r="60" spans="2:76" ht="15" customHeight="1" x14ac:dyDescent="0.3">
      <c r="B60" s="1" t="s">
        <v>228</v>
      </c>
      <c r="C60" s="1"/>
      <c r="D60" s="1"/>
      <c r="E60" s="1"/>
      <c r="F60" s="1"/>
      <c r="G60" s="1"/>
      <c r="H60" s="1"/>
      <c r="K60" s="2"/>
      <c r="L60" s="2"/>
      <c r="M60" s="2"/>
      <c r="N60" s="2"/>
      <c r="O60" s="2"/>
      <c r="P60" s="2"/>
      <c r="Q60" s="2"/>
      <c r="R60" s="2"/>
      <c r="S60" s="2"/>
      <c r="T60" s="2"/>
      <c r="U60" s="2"/>
      <c r="V60" s="2"/>
      <c r="W60" s="2"/>
      <c r="X60" s="2"/>
      <c r="Y60" s="2"/>
      <c r="Z60" s="2"/>
      <c r="AA60" s="2"/>
      <c r="AB60" s="2"/>
      <c r="AF60" s="2"/>
      <c r="AG60" s="2"/>
      <c r="AH60" s="2"/>
      <c r="AI60" s="2"/>
      <c r="AJ60" s="2"/>
      <c r="AK60" s="2"/>
      <c r="AL60" s="91"/>
      <c r="AM60" s="91"/>
      <c r="AN60" s="91"/>
      <c r="AO60" s="91"/>
      <c r="AP60" s="2"/>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7"/>
    </row>
    <row r="61" spans="2:76" ht="4.95" customHeight="1" x14ac:dyDescent="0.3">
      <c r="AK61" s="2"/>
      <c r="AN61" s="91"/>
      <c r="AO61" s="91"/>
      <c r="AP61" s="2"/>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7"/>
    </row>
    <row r="62" spans="2:76" ht="15" customHeight="1" x14ac:dyDescent="0.3">
      <c r="H62" s="2" t="s">
        <v>229</v>
      </c>
      <c r="J62" s="77"/>
      <c r="K62" s="40" t="s">
        <v>244</v>
      </c>
      <c r="P62" s="77"/>
      <c r="Q62" s="40" t="s">
        <v>231</v>
      </c>
      <c r="AK62" s="2"/>
      <c r="AL62" s="128">
        <f>IF(AND(ISBLANK(J62),ISBLANK(P62)),1,2)</f>
        <v>1</v>
      </c>
      <c r="AM62" s="128">
        <f>IF(ISBLANK(P62),1,2)</f>
        <v>1</v>
      </c>
      <c r="AN62" s="91"/>
      <c r="AO62" s="91"/>
      <c r="AP62" s="2"/>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7"/>
    </row>
    <row r="63" spans="2:76" ht="4.95" customHeight="1" x14ac:dyDescent="0.3">
      <c r="AK63" s="2"/>
      <c r="AN63" s="91"/>
      <c r="AO63" s="91"/>
      <c r="AP63" s="2"/>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7"/>
    </row>
    <row r="64" spans="2:76" ht="15" customHeight="1" x14ac:dyDescent="0.3">
      <c r="H64" s="2" t="s">
        <v>230</v>
      </c>
      <c r="J64" s="77"/>
      <c r="K64" s="40" t="s">
        <v>232</v>
      </c>
      <c r="M64" s="77"/>
      <c r="N64" s="40" t="s">
        <v>233</v>
      </c>
      <c r="P64" s="77"/>
      <c r="Q64" s="40" t="s">
        <v>234</v>
      </c>
      <c r="S64" s="77"/>
      <c r="T64" s="40" t="s">
        <v>235</v>
      </c>
      <c r="AE64" s="2" t="s">
        <v>236</v>
      </c>
      <c r="AF64" s="176"/>
      <c r="AG64" s="176"/>
      <c r="AH64" s="176"/>
      <c r="AI64" s="40" t="s">
        <v>45</v>
      </c>
      <c r="AK64" s="2"/>
      <c r="AL64" s="128">
        <f>IF(AND(ISBLANK(J64),ISBLANK(M64),ISBLANK(P64),ISBLANK(S64)),1,2)</f>
        <v>1</v>
      </c>
      <c r="AN64" s="91"/>
      <c r="AO64" s="91"/>
      <c r="AP64" s="2"/>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7"/>
    </row>
    <row r="65" spans="2:76" ht="4.95" customHeight="1" x14ac:dyDescent="0.3">
      <c r="AK65" s="2"/>
      <c r="AN65" s="91"/>
      <c r="AO65" s="91"/>
      <c r="AP65" s="2"/>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7"/>
    </row>
    <row r="66" spans="2:76" ht="15" customHeight="1" x14ac:dyDescent="0.3">
      <c r="K66" s="2" t="s">
        <v>237</v>
      </c>
      <c r="L66" s="176"/>
      <c r="M66" s="176"/>
      <c r="N66" s="176"/>
      <c r="O66" s="40" t="s">
        <v>239</v>
      </c>
      <c r="AE66" s="2" t="s">
        <v>238</v>
      </c>
      <c r="AF66" s="77"/>
      <c r="AG66" s="40" t="s">
        <v>130</v>
      </c>
      <c r="AH66" s="2"/>
      <c r="AI66" s="77"/>
      <c r="AJ66" s="40" t="s">
        <v>131</v>
      </c>
      <c r="AK66" s="2"/>
      <c r="AL66" s="127"/>
      <c r="AM66" s="128">
        <f>IF(AND(ISBLANK(AF66),ISBLANK(AI66)),1,2)</f>
        <v>1</v>
      </c>
      <c r="AN66" s="91"/>
      <c r="AO66" s="91"/>
      <c r="AP66" s="2"/>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7"/>
    </row>
    <row r="67" spans="2:76" ht="4.95" customHeight="1" x14ac:dyDescent="0.3">
      <c r="AK67" s="2"/>
      <c r="AN67" s="91"/>
      <c r="AO67" s="91"/>
      <c r="AP67" s="2"/>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7"/>
    </row>
    <row r="68" spans="2:76" ht="15" customHeight="1" x14ac:dyDescent="0.3">
      <c r="B68" s="77"/>
      <c r="C68" s="103" t="s">
        <v>240</v>
      </c>
      <c r="I68" s="2" t="s">
        <v>181</v>
      </c>
      <c r="J68" s="205"/>
      <c r="K68" s="205"/>
      <c r="L68" s="205"/>
      <c r="M68" s="205"/>
      <c r="R68" s="2" t="s">
        <v>182</v>
      </c>
      <c r="S68" s="205"/>
      <c r="T68" s="205"/>
      <c r="U68" s="205"/>
      <c r="Y68" s="2" t="s">
        <v>183</v>
      </c>
      <c r="Z68" s="179"/>
      <c r="AA68" s="179"/>
      <c r="AB68" s="179"/>
      <c r="AC68" s="40" t="s">
        <v>45</v>
      </c>
      <c r="AF68" s="2" t="s">
        <v>242</v>
      </c>
      <c r="AG68" s="201"/>
      <c r="AH68" s="201"/>
      <c r="AI68" s="201"/>
      <c r="AJ68" s="40" t="s">
        <v>45</v>
      </c>
      <c r="AK68" s="2"/>
      <c r="AL68" s="128">
        <f>IF(ISBLANK(B68),1,2)</f>
        <v>1</v>
      </c>
      <c r="AN68" s="128">
        <f>IF(AND(ISBLANK(B68),ISBLANK(B75)),1,2)</f>
        <v>1</v>
      </c>
      <c r="AP68" s="2"/>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7"/>
    </row>
    <row r="69" spans="2:76" ht="15" customHeight="1" x14ac:dyDescent="0.3">
      <c r="I69" s="2" t="s">
        <v>250</v>
      </c>
      <c r="J69" s="180"/>
      <c r="K69" s="180"/>
      <c r="L69" s="180"/>
      <c r="M69" s="180"/>
      <c r="N69" s="40" t="s">
        <v>249</v>
      </c>
      <c r="R69" s="2" t="s">
        <v>180</v>
      </c>
      <c r="S69" s="191"/>
      <c r="T69" s="191"/>
      <c r="U69" s="191"/>
      <c r="V69" s="40" t="s">
        <v>44</v>
      </c>
      <c r="Y69" s="2" t="s">
        <v>179</v>
      </c>
      <c r="Z69" s="191"/>
      <c r="AA69" s="191"/>
      <c r="AB69" s="191"/>
      <c r="AC69" s="40" t="s">
        <v>45</v>
      </c>
      <c r="AF69" s="2" t="s">
        <v>241</v>
      </c>
      <c r="AG69" s="191"/>
      <c r="AH69" s="191"/>
      <c r="AI69" s="191"/>
      <c r="AJ69" s="40" t="s">
        <v>45</v>
      </c>
      <c r="AK69" s="2"/>
      <c r="AL69" s="128">
        <f>IF(ISBLANK(S69),1,2)</f>
        <v>1</v>
      </c>
      <c r="AM69" s="128">
        <f>IF(AND(ISBLANK(Z69),ISBLANK(AG69)),1,2)</f>
        <v>1</v>
      </c>
      <c r="AN69" s="91"/>
      <c r="AO69" s="91"/>
      <c r="AP69" s="2"/>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7"/>
    </row>
    <row r="70" spans="2:76" ht="4.95" customHeight="1" x14ac:dyDescent="0.3">
      <c r="K70" s="2"/>
      <c r="W70" s="2"/>
      <c r="AE70" s="2"/>
      <c r="AK70" s="2"/>
      <c r="AN70" s="91"/>
      <c r="AO70" s="91"/>
      <c r="AP70" s="2"/>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7"/>
    </row>
    <row r="71" spans="2:76" ht="15" customHeight="1" x14ac:dyDescent="0.3">
      <c r="C71" s="104" t="s">
        <v>438</v>
      </c>
      <c r="J71" s="77"/>
      <c r="K71" s="40" t="s">
        <v>436</v>
      </c>
      <c r="P71" s="2" t="s">
        <v>181</v>
      </c>
      <c r="Q71" s="205"/>
      <c r="R71" s="205"/>
      <c r="S71" s="205"/>
      <c r="T71" s="205"/>
      <c r="Y71" s="2" t="s">
        <v>180</v>
      </c>
      <c r="Z71" s="176"/>
      <c r="AA71" s="176"/>
      <c r="AB71" s="176"/>
      <c r="AC71" s="40" t="s">
        <v>44</v>
      </c>
      <c r="AK71" s="2"/>
      <c r="AL71" s="128">
        <f>IF(ISBLANK(J71),1,2)</f>
        <v>1</v>
      </c>
      <c r="AM71" s="128">
        <f>IF(ISBLANK(J71),1,2)</f>
        <v>1</v>
      </c>
      <c r="AN71" s="91"/>
      <c r="AO71" s="91"/>
      <c r="AP71" s="2"/>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7"/>
    </row>
    <row r="72" spans="2:76" ht="4.95" customHeight="1" x14ac:dyDescent="0.3">
      <c r="C72" s="104"/>
      <c r="AK72" s="2"/>
      <c r="AP72" s="2"/>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7"/>
    </row>
    <row r="73" spans="2:76" ht="15" customHeight="1" x14ac:dyDescent="0.3">
      <c r="P73" s="2" t="s">
        <v>439</v>
      </c>
      <c r="Q73" s="183"/>
      <c r="R73" s="183"/>
      <c r="S73" s="183"/>
      <c r="T73" s="40" t="s">
        <v>263</v>
      </c>
      <c r="AK73" s="2"/>
      <c r="AL73" s="128">
        <f>IF(ISBLANK(Q73),1,2)</f>
        <v>1</v>
      </c>
      <c r="AN73" s="91"/>
      <c r="AO73" s="91"/>
      <c r="AP73" s="2"/>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7"/>
    </row>
    <row r="74" spans="2:76" ht="15" customHeight="1" x14ac:dyDescent="0.3">
      <c r="K74" s="2"/>
      <c r="O74" s="2"/>
      <c r="W74" s="2"/>
      <c r="AE74" s="2"/>
      <c r="AK74" s="2"/>
      <c r="AN74" s="91"/>
      <c r="AO74" s="91"/>
      <c r="AP74" s="2"/>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7"/>
    </row>
    <row r="75" spans="2:76" ht="15" customHeight="1" x14ac:dyDescent="0.3">
      <c r="B75" s="77"/>
      <c r="C75" s="103" t="s">
        <v>243</v>
      </c>
      <c r="K75" s="77"/>
      <c r="L75" s="40" t="s">
        <v>245</v>
      </c>
      <c r="O75" s="77"/>
      <c r="P75" s="40" t="s">
        <v>246</v>
      </c>
      <c r="T75" s="77"/>
      <c r="U75" s="40" t="s">
        <v>434</v>
      </c>
      <c r="Y75" s="77"/>
      <c r="Z75" s="40" t="s">
        <v>437</v>
      </c>
      <c r="AK75" s="2"/>
      <c r="AL75" s="128">
        <f>IF(ISBLANK(B75),1,2)</f>
        <v>1</v>
      </c>
      <c r="AM75" s="128">
        <f>IF(AND(ISBLANK(K75),ISBLANK(O75),ISBLANK(T75),ISBLANK(Y75),ISBLANK(Y77)),1,2)</f>
        <v>1</v>
      </c>
      <c r="AN75" s="91"/>
      <c r="AO75" s="91"/>
      <c r="AP75" s="2"/>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7"/>
    </row>
    <row r="76" spans="2:76" ht="4.95" customHeight="1" x14ac:dyDescent="0.3">
      <c r="K76" s="2"/>
      <c r="O76" s="2"/>
      <c r="W76" s="2"/>
      <c r="AE76" s="2"/>
      <c r="AK76" s="2"/>
      <c r="AN76" s="91"/>
      <c r="AO76" s="91"/>
      <c r="AP76" s="2"/>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7"/>
    </row>
    <row r="77" spans="2:76" ht="15" customHeight="1" x14ac:dyDescent="0.3">
      <c r="K77" s="2"/>
      <c r="O77" s="2"/>
      <c r="Y77" s="77"/>
      <c r="Z77" s="40" t="s">
        <v>247</v>
      </c>
      <c r="AB77" s="2"/>
      <c r="AC77" s="205"/>
      <c r="AD77" s="205"/>
      <c r="AE77" s="205"/>
      <c r="AF77" s="205"/>
      <c r="AG77" s="205"/>
      <c r="AH77" s="205"/>
      <c r="AI77" s="205"/>
      <c r="AJ77" s="205"/>
      <c r="AK77" s="2"/>
      <c r="AN77" s="128">
        <f>IF(ISBLANK(Y77),1,2)</f>
        <v>1</v>
      </c>
      <c r="AO77" s="91"/>
      <c r="AP77" s="2"/>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7"/>
    </row>
    <row r="78" spans="2:76" ht="4.95" customHeight="1" x14ac:dyDescent="0.3">
      <c r="K78" s="2"/>
      <c r="O78" s="2"/>
      <c r="W78" s="2"/>
      <c r="AE78" s="2"/>
      <c r="AK78" s="2"/>
      <c r="AN78" s="91"/>
      <c r="AO78" s="91"/>
      <c r="AP78" s="2"/>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7"/>
    </row>
    <row r="79" spans="2:76" ht="15" customHeight="1" x14ac:dyDescent="0.3">
      <c r="C79" s="104" t="s">
        <v>269</v>
      </c>
      <c r="J79" s="2" t="s">
        <v>248</v>
      </c>
      <c r="K79" s="205"/>
      <c r="L79" s="205"/>
      <c r="M79" s="205"/>
      <c r="N79" s="205"/>
      <c r="O79" s="205"/>
      <c r="R79" s="2" t="s">
        <v>241</v>
      </c>
      <c r="S79" s="176"/>
      <c r="T79" s="176"/>
      <c r="U79" s="176"/>
      <c r="V79" s="13" t="s">
        <v>44</v>
      </c>
      <c r="Y79" s="2" t="s">
        <v>179</v>
      </c>
      <c r="Z79" s="176"/>
      <c r="AA79" s="176"/>
      <c r="AB79" s="176"/>
      <c r="AC79" s="13" t="s">
        <v>44</v>
      </c>
      <c r="AE79" s="2"/>
      <c r="AF79" s="2" t="s">
        <v>183</v>
      </c>
      <c r="AG79" s="176"/>
      <c r="AH79" s="176"/>
      <c r="AI79" s="176"/>
      <c r="AJ79" s="40" t="s">
        <v>45</v>
      </c>
      <c r="AK79" s="2"/>
      <c r="AN79" s="91"/>
      <c r="AO79" s="91"/>
      <c r="AP79" s="2"/>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7"/>
    </row>
    <row r="80" spans="2:76" ht="4.95" customHeight="1" x14ac:dyDescent="0.3">
      <c r="J80" s="2"/>
      <c r="K80" s="102"/>
      <c r="W80" s="2"/>
      <c r="X80" s="2"/>
      <c r="Y80" s="2"/>
      <c r="AE80" s="2"/>
      <c r="AK80" s="2"/>
      <c r="AN80" s="91"/>
      <c r="AO80" s="91"/>
      <c r="AP80" s="2"/>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7"/>
    </row>
    <row r="81" spans="3:76" ht="15" customHeight="1" x14ac:dyDescent="0.3">
      <c r="G81" s="2" t="s">
        <v>251</v>
      </c>
      <c r="H81" s="77"/>
      <c r="I81" s="40" t="s">
        <v>130</v>
      </c>
      <c r="J81" s="2"/>
      <c r="K81" s="77"/>
      <c r="L81" s="40" t="s">
        <v>131</v>
      </c>
      <c r="O81" s="2" t="s">
        <v>248</v>
      </c>
      <c r="P81" s="205"/>
      <c r="Q81" s="205"/>
      <c r="R81" s="205"/>
      <c r="S81" s="205"/>
      <c r="T81" s="205"/>
      <c r="W81" s="2"/>
      <c r="X81" s="2"/>
      <c r="Y81" s="2"/>
      <c r="AK81" s="2"/>
      <c r="AL81" s="128">
        <f>IF(AND(ISBLANK(H81),ISBLANK(K81)),1,2)</f>
        <v>1</v>
      </c>
      <c r="AM81" s="128">
        <f>IF(ISBLANK(H81),1,2)</f>
        <v>1</v>
      </c>
      <c r="AN81" s="91"/>
      <c r="AO81" s="91"/>
      <c r="AP81" s="2"/>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7"/>
    </row>
    <row r="82" spans="3:76" ht="4.95" customHeight="1" x14ac:dyDescent="0.3">
      <c r="G82" s="2"/>
      <c r="H82" s="2"/>
      <c r="I82" s="2"/>
      <c r="J82" s="2"/>
      <c r="K82" s="2"/>
      <c r="L82" s="2"/>
      <c r="W82" s="2"/>
      <c r="X82" s="2"/>
      <c r="Y82" s="2"/>
      <c r="AK82" s="2"/>
      <c r="AN82" s="91"/>
      <c r="AO82" s="91"/>
      <c r="AP82" s="2"/>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7"/>
    </row>
    <row r="83" spans="3:76" ht="15" customHeight="1" x14ac:dyDescent="0.3">
      <c r="G83" s="2" t="s">
        <v>252</v>
      </c>
      <c r="H83" s="77"/>
      <c r="I83" s="40" t="s">
        <v>130</v>
      </c>
      <c r="K83" s="77"/>
      <c r="L83" s="40" t="s">
        <v>131</v>
      </c>
      <c r="O83" s="2" t="s">
        <v>248</v>
      </c>
      <c r="P83" s="205"/>
      <c r="Q83" s="205"/>
      <c r="R83" s="205"/>
      <c r="S83" s="205"/>
      <c r="T83" s="205"/>
      <c r="W83" s="2"/>
      <c r="X83" s="2"/>
      <c r="Y83" s="2"/>
      <c r="AK83" s="2"/>
      <c r="AL83" s="128">
        <f>IF(AND(ISBLANK(H83),ISBLANK(K83)),1,2)</f>
        <v>1</v>
      </c>
      <c r="AM83" s="128">
        <f>IF(ISBLANK(H83),1,2)</f>
        <v>1</v>
      </c>
      <c r="AN83" s="91"/>
      <c r="AO83" s="91"/>
      <c r="AP83" s="2"/>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7"/>
    </row>
    <row r="84" spans="3:76" ht="4.95" customHeight="1" x14ac:dyDescent="0.3">
      <c r="AN84" s="91"/>
      <c r="AO84" s="91"/>
      <c r="AP84" s="2"/>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7"/>
    </row>
    <row r="85" spans="3:76" ht="15" customHeight="1" x14ac:dyDescent="0.3">
      <c r="C85" s="104" t="s">
        <v>268</v>
      </c>
      <c r="P85" s="4" t="s">
        <v>258</v>
      </c>
      <c r="S85" s="184" t="s">
        <v>259</v>
      </c>
      <c r="T85" s="184"/>
      <c r="U85" s="184"/>
      <c r="V85" s="184"/>
      <c r="W85" s="184"/>
      <c r="X85" s="184" t="s">
        <v>260</v>
      </c>
      <c r="Y85" s="184"/>
      <c r="Z85" s="184"/>
      <c r="AA85" s="184"/>
      <c r="AB85" s="184"/>
      <c r="AN85" s="91"/>
      <c r="AO85" s="91"/>
      <c r="AP85" s="2"/>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7"/>
    </row>
    <row r="86" spans="3:76" ht="15" customHeight="1" x14ac:dyDescent="0.3">
      <c r="N86" s="2" t="s">
        <v>253</v>
      </c>
      <c r="O86" s="176"/>
      <c r="P86" s="176"/>
      <c r="Q86" s="176"/>
      <c r="R86" s="40" t="s">
        <v>44</v>
      </c>
      <c r="T86" s="176"/>
      <c r="U86" s="176"/>
      <c r="V86" s="176"/>
      <c r="W86" s="40" t="s">
        <v>45</v>
      </c>
      <c r="Y86" s="176"/>
      <c r="Z86" s="176"/>
      <c r="AA86" s="176"/>
      <c r="AB86" s="40" t="s">
        <v>45</v>
      </c>
      <c r="AN86" s="91"/>
      <c r="AO86" s="91"/>
      <c r="AP86" s="2"/>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7"/>
    </row>
    <row r="87" spans="3:76" ht="15" customHeight="1" x14ac:dyDescent="0.3">
      <c r="N87" s="2" t="s">
        <v>254</v>
      </c>
      <c r="O87" s="182"/>
      <c r="P87" s="182"/>
      <c r="Q87" s="182"/>
      <c r="R87" s="40" t="s">
        <v>44</v>
      </c>
      <c r="T87" s="182"/>
      <c r="U87" s="182"/>
      <c r="V87" s="182"/>
      <c r="W87" s="40" t="s">
        <v>45</v>
      </c>
      <c r="Y87" s="182"/>
      <c r="Z87" s="182"/>
      <c r="AA87" s="182"/>
      <c r="AB87" s="40" t="s">
        <v>45</v>
      </c>
      <c r="AN87" s="91"/>
      <c r="AO87" s="91"/>
      <c r="AP87" s="2"/>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7"/>
    </row>
    <row r="88" spans="3:76" ht="15" customHeight="1" x14ac:dyDescent="0.3">
      <c r="N88" s="2" t="s">
        <v>255</v>
      </c>
      <c r="O88" s="182"/>
      <c r="P88" s="182"/>
      <c r="Q88" s="182"/>
      <c r="R88" s="40" t="s">
        <v>44</v>
      </c>
      <c r="T88" s="182"/>
      <c r="U88" s="182"/>
      <c r="V88" s="182"/>
      <c r="W88" s="40" t="s">
        <v>45</v>
      </c>
      <c r="Y88" s="182"/>
      <c r="Z88" s="182"/>
      <c r="AA88" s="182"/>
      <c r="AB88" s="40" t="s">
        <v>45</v>
      </c>
      <c r="AN88" s="91"/>
      <c r="AO88" s="91"/>
      <c r="AP88" s="2"/>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7"/>
    </row>
    <row r="89" spans="3:76" ht="15" customHeight="1" x14ac:dyDescent="0.3">
      <c r="N89" s="2" t="s">
        <v>256</v>
      </c>
      <c r="O89" s="182"/>
      <c r="P89" s="182"/>
      <c r="Q89" s="182"/>
      <c r="R89" s="40" t="s">
        <v>44</v>
      </c>
      <c r="T89" s="182"/>
      <c r="U89" s="182"/>
      <c r="V89" s="182"/>
      <c r="W89" s="40" t="s">
        <v>45</v>
      </c>
      <c r="Y89" s="182"/>
      <c r="Z89" s="182"/>
      <c r="AA89" s="182"/>
      <c r="AB89" s="40" t="s">
        <v>45</v>
      </c>
      <c r="AN89" s="91"/>
      <c r="AO89" s="91"/>
      <c r="AP89" s="2"/>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7"/>
    </row>
    <row r="90" spans="3:76" ht="15" customHeight="1" x14ac:dyDescent="0.3">
      <c r="N90" s="2" t="s">
        <v>257</v>
      </c>
      <c r="O90" s="182"/>
      <c r="P90" s="182"/>
      <c r="Q90" s="182"/>
      <c r="R90" s="40" t="s">
        <v>44</v>
      </c>
      <c r="T90" s="182"/>
      <c r="U90" s="182"/>
      <c r="V90" s="182"/>
      <c r="W90" s="40" t="s">
        <v>45</v>
      </c>
      <c r="Y90" s="182"/>
      <c r="Z90" s="182"/>
      <c r="AA90" s="182"/>
      <c r="AB90" s="40" t="s">
        <v>45</v>
      </c>
      <c r="AN90" s="91"/>
      <c r="AO90" s="91"/>
      <c r="AP90" s="2"/>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7"/>
    </row>
    <row r="91" spans="3:76" ht="4.95" customHeight="1" x14ac:dyDescent="0.3">
      <c r="AN91" s="91"/>
      <c r="AO91" s="91"/>
      <c r="AP91" s="2"/>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7"/>
    </row>
    <row r="92" spans="3:76" ht="15" customHeight="1" x14ac:dyDescent="0.3">
      <c r="C92" s="104" t="s">
        <v>267</v>
      </c>
      <c r="O92" s="184" t="s">
        <v>262</v>
      </c>
      <c r="P92" s="184"/>
      <c r="Q92" s="184"/>
      <c r="S92" s="184" t="s">
        <v>441</v>
      </c>
      <c r="T92" s="184"/>
      <c r="U92" s="184"/>
      <c r="V92" s="184"/>
      <c r="W92" s="184"/>
      <c r="X92" s="184" t="s">
        <v>440</v>
      </c>
      <c r="Y92" s="184"/>
      <c r="Z92" s="184"/>
      <c r="AA92" s="184"/>
      <c r="AB92" s="184"/>
      <c r="AD92" s="184" t="s">
        <v>43</v>
      </c>
      <c r="AE92" s="184"/>
      <c r="AF92" s="184"/>
      <c r="AN92" s="91"/>
      <c r="AO92" s="91"/>
      <c r="AP92" s="2"/>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7"/>
    </row>
    <row r="93" spans="3:76" ht="15" customHeight="1" x14ac:dyDescent="0.3">
      <c r="N93" s="2" t="s">
        <v>442</v>
      </c>
      <c r="O93" s="177"/>
      <c r="P93" s="177"/>
      <c r="Q93" s="177"/>
      <c r="R93" s="40" t="s">
        <v>263</v>
      </c>
      <c r="T93" s="177"/>
      <c r="U93" s="177"/>
      <c r="V93" s="177"/>
      <c r="W93" s="40" t="s">
        <v>45</v>
      </c>
      <c r="Y93" s="179"/>
      <c r="Z93" s="179"/>
      <c r="AA93" s="179"/>
      <c r="AB93" s="40" t="s">
        <v>249</v>
      </c>
      <c r="AD93" s="176"/>
      <c r="AE93" s="176"/>
      <c r="AF93" s="176"/>
      <c r="AG93" s="40" t="s">
        <v>45</v>
      </c>
      <c r="AN93" s="91"/>
      <c r="AO93" s="91"/>
      <c r="AP93" s="2"/>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7"/>
    </row>
    <row r="94" spans="3:76" ht="15" customHeight="1" x14ac:dyDescent="0.3">
      <c r="N94" s="2" t="s">
        <v>443</v>
      </c>
      <c r="O94" s="178"/>
      <c r="P94" s="178"/>
      <c r="Q94" s="178"/>
      <c r="R94" s="40" t="s">
        <v>263</v>
      </c>
      <c r="T94" s="178"/>
      <c r="U94" s="178"/>
      <c r="V94" s="178"/>
      <c r="W94" s="40" t="s">
        <v>45</v>
      </c>
      <c r="Y94" s="180"/>
      <c r="Z94" s="180"/>
      <c r="AA94" s="180"/>
      <c r="AB94" s="40" t="s">
        <v>249</v>
      </c>
      <c r="AD94" s="182"/>
      <c r="AE94" s="182"/>
      <c r="AF94" s="182"/>
      <c r="AG94" s="40" t="s">
        <v>45</v>
      </c>
      <c r="AN94" s="91"/>
      <c r="AO94" s="91"/>
      <c r="AP94" s="2"/>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7"/>
    </row>
    <row r="95" spans="3:76" ht="15" customHeight="1" x14ac:dyDescent="0.3">
      <c r="X95" s="2" t="s">
        <v>446</v>
      </c>
      <c r="Y95" s="180"/>
      <c r="Z95" s="180"/>
      <c r="AA95" s="180"/>
      <c r="AB95" s="40" t="s">
        <v>249</v>
      </c>
      <c r="AN95" s="91"/>
      <c r="AO95" s="91"/>
      <c r="AP95" s="2"/>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7"/>
    </row>
    <row r="96" spans="3:76" ht="15" customHeight="1" x14ac:dyDescent="0.3">
      <c r="X96" s="2" t="s">
        <v>444</v>
      </c>
      <c r="Y96" s="181">
        <f>SUM(Y93:AA95)</f>
        <v>0</v>
      </c>
      <c r="Z96" s="181"/>
      <c r="AA96" s="181"/>
      <c r="AB96" s="40" t="s">
        <v>249</v>
      </c>
      <c r="AN96" s="91"/>
      <c r="AO96" s="91"/>
      <c r="AP96" s="2"/>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7"/>
    </row>
    <row r="97" spans="2:76" ht="15" customHeight="1" x14ac:dyDescent="0.3">
      <c r="N97" s="2" t="s">
        <v>532</v>
      </c>
      <c r="O97" s="183"/>
      <c r="P97" s="183"/>
      <c r="Q97" s="183"/>
      <c r="R97" s="40" t="s">
        <v>263</v>
      </c>
      <c r="AN97" s="91"/>
      <c r="AO97" s="91"/>
      <c r="AP97" s="2"/>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7"/>
    </row>
    <row r="98" spans="2:76" ht="15" customHeight="1" x14ac:dyDescent="0.3">
      <c r="K98" s="184" t="s">
        <v>530</v>
      </c>
      <c r="L98" s="184"/>
      <c r="M98" s="184"/>
      <c r="P98" s="4" t="s">
        <v>531</v>
      </c>
      <c r="U98" s="4" t="s">
        <v>264</v>
      </c>
      <c r="Z98" s="4" t="s">
        <v>43</v>
      </c>
      <c r="AE98" s="4" t="s">
        <v>260</v>
      </c>
      <c r="AN98" s="91"/>
      <c r="AO98" s="91"/>
      <c r="AP98" s="2"/>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7"/>
    </row>
    <row r="99" spans="2:76" ht="15" customHeight="1" x14ac:dyDescent="0.3">
      <c r="J99" s="2" t="s">
        <v>261</v>
      </c>
      <c r="K99" s="206"/>
      <c r="L99" s="206"/>
      <c r="M99" s="206"/>
      <c r="O99" s="177"/>
      <c r="P99" s="177"/>
      <c r="Q99" s="177"/>
      <c r="R99" s="40" t="s">
        <v>44</v>
      </c>
      <c r="T99" s="176"/>
      <c r="U99" s="176"/>
      <c r="V99" s="176"/>
      <c r="W99" s="40" t="s">
        <v>45</v>
      </c>
      <c r="Y99" s="176"/>
      <c r="Z99" s="176"/>
      <c r="AA99" s="176"/>
      <c r="AB99" s="40" t="s">
        <v>45</v>
      </c>
      <c r="AD99" s="176"/>
      <c r="AE99" s="176"/>
      <c r="AF99" s="176"/>
      <c r="AG99" s="40" t="s">
        <v>45</v>
      </c>
      <c r="AL99" s="128">
        <v>1</v>
      </c>
      <c r="AM99" s="128">
        <f>IF(AL99&lt;=$O$97,2,1)</f>
        <v>1</v>
      </c>
      <c r="AN99" s="128">
        <f>IF(ISBLANK(K99),1,2)</f>
        <v>1</v>
      </c>
      <c r="AO99" s="91"/>
      <c r="AP99" s="2"/>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7"/>
    </row>
    <row r="100" spans="2:76" ht="4.95" customHeight="1" x14ac:dyDescent="0.3">
      <c r="AL100" s="91"/>
      <c r="AM100" s="91"/>
      <c r="AN100" s="91"/>
      <c r="AO100" s="91"/>
      <c r="AP100" s="2"/>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7"/>
    </row>
    <row r="101" spans="2:76" ht="15" customHeight="1" x14ac:dyDescent="0.3">
      <c r="J101" s="2" t="s">
        <v>533</v>
      </c>
      <c r="K101" s="168"/>
      <c r="L101" s="40" t="s">
        <v>175</v>
      </c>
      <c r="N101" s="168"/>
      <c r="O101" s="40" t="s">
        <v>155</v>
      </c>
      <c r="T101" s="183"/>
      <c r="U101" s="183"/>
      <c r="V101" s="183"/>
      <c r="W101" s="40" t="s">
        <v>44</v>
      </c>
      <c r="Y101" s="176"/>
      <c r="Z101" s="176"/>
      <c r="AA101" s="176"/>
      <c r="AB101" s="40" t="s">
        <v>45</v>
      </c>
      <c r="AL101" s="128">
        <f>IF(AND(ISBLANK(K101),ISBLANK(N101)),1,2)</f>
        <v>1</v>
      </c>
      <c r="AM101" s="128">
        <f>IF(ISBLANK(K101),1,2)</f>
        <v>1</v>
      </c>
      <c r="AN101" s="128"/>
      <c r="AO101" s="91"/>
      <c r="AP101" s="2"/>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7"/>
    </row>
    <row r="102" spans="2:76" ht="4.95" customHeight="1" x14ac:dyDescent="0.3">
      <c r="AL102" s="91"/>
      <c r="AM102" s="91"/>
      <c r="AN102" s="91"/>
      <c r="AO102" s="91"/>
      <c r="AP102" s="2"/>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7"/>
    </row>
    <row r="103" spans="2:76" ht="15" customHeight="1" x14ac:dyDescent="0.3">
      <c r="J103" s="2" t="s">
        <v>261</v>
      </c>
      <c r="K103" s="206"/>
      <c r="L103" s="206"/>
      <c r="M103" s="206"/>
      <c r="O103" s="177"/>
      <c r="P103" s="177"/>
      <c r="Q103" s="177"/>
      <c r="R103" s="40" t="s">
        <v>44</v>
      </c>
      <c r="T103" s="176"/>
      <c r="U103" s="176"/>
      <c r="V103" s="176"/>
      <c r="W103" s="40" t="s">
        <v>45</v>
      </c>
      <c r="Y103" s="176"/>
      <c r="Z103" s="176"/>
      <c r="AA103" s="176"/>
      <c r="AB103" s="40" t="s">
        <v>45</v>
      </c>
      <c r="AD103" s="176"/>
      <c r="AE103" s="176"/>
      <c r="AF103" s="176"/>
      <c r="AG103" s="40" t="s">
        <v>45</v>
      </c>
      <c r="AL103" s="128">
        <v>2</v>
      </c>
      <c r="AM103" s="128">
        <f>IF(AL103&lt;=$O$97,2,1)</f>
        <v>1</v>
      </c>
      <c r="AN103" s="128">
        <f t="shared" ref="AN103:AN107" si="4">IF(ISBLANK(K103),1,2)</f>
        <v>1</v>
      </c>
      <c r="AO103" s="91"/>
      <c r="AP103" s="2"/>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7"/>
    </row>
    <row r="104" spans="2:76" ht="4.95" customHeight="1" x14ac:dyDescent="0.3">
      <c r="AL104" s="91"/>
      <c r="AM104" s="91"/>
      <c r="AN104" s="91"/>
      <c r="AO104" s="91"/>
      <c r="AP104" s="2"/>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7"/>
    </row>
    <row r="105" spans="2:76" ht="15" customHeight="1" x14ac:dyDescent="0.3">
      <c r="J105" s="2" t="s">
        <v>533</v>
      </c>
      <c r="K105" s="168"/>
      <c r="L105" s="40" t="s">
        <v>175</v>
      </c>
      <c r="N105" s="168"/>
      <c r="O105" s="40" t="s">
        <v>155</v>
      </c>
      <c r="T105" s="183"/>
      <c r="U105" s="183"/>
      <c r="V105" s="183"/>
      <c r="W105" s="40" t="s">
        <v>44</v>
      </c>
      <c r="Y105" s="176"/>
      <c r="Z105" s="176"/>
      <c r="AA105" s="176"/>
      <c r="AB105" s="40" t="s">
        <v>45</v>
      </c>
      <c r="AL105" s="128">
        <f>IF(AND(ISBLANK(K105),ISBLANK(N105)),1,2)</f>
        <v>1</v>
      </c>
      <c r="AM105" s="128">
        <f>IF(ISBLANK(K105),1,2)</f>
        <v>1</v>
      </c>
      <c r="AN105" s="128"/>
      <c r="AO105" s="91"/>
      <c r="AP105" s="2"/>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7"/>
    </row>
    <row r="106" spans="2:76" ht="4.95" customHeight="1" x14ac:dyDescent="0.3">
      <c r="AL106" s="91"/>
      <c r="AM106" s="91"/>
      <c r="AN106" s="91"/>
      <c r="AO106" s="91"/>
      <c r="AP106" s="2"/>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7"/>
    </row>
    <row r="107" spans="2:76" ht="15" customHeight="1" x14ac:dyDescent="0.3">
      <c r="J107" s="2" t="s">
        <v>261</v>
      </c>
      <c r="K107" s="206"/>
      <c r="L107" s="206"/>
      <c r="M107" s="206"/>
      <c r="O107" s="177"/>
      <c r="P107" s="177"/>
      <c r="Q107" s="177"/>
      <c r="R107" s="40" t="s">
        <v>44</v>
      </c>
      <c r="T107" s="176"/>
      <c r="U107" s="176"/>
      <c r="V107" s="176"/>
      <c r="W107" s="40" t="s">
        <v>45</v>
      </c>
      <c r="Y107" s="176"/>
      <c r="Z107" s="176"/>
      <c r="AA107" s="176"/>
      <c r="AB107" s="40" t="s">
        <v>45</v>
      </c>
      <c r="AD107" s="176"/>
      <c r="AE107" s="176"/>
      <c r="AF107" s="176"/>
      <c r="AG107" s="40" t="s">
        <v>45</v>
      </c>
      <c r="AL107" s="128">
        <v>3</v>
      </c>
      <c r="AM107" s="128">
        <f>IF(AL107&lt;=$O$97,2,1)</f>
        <v>1</v>
      </c>
      <c r="AN107" s="128">
        <f t="shared" si="4"/>
        <v>1</v>
      </c>
      <c r="AO107" s="91"/>
      <c r="AP107" s="2"/>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7"/>
    </row>
    <row r="108" spans="2:76" ht="4.95" customHeight="1" x14ac:dyDescent="0.3">
      <c r="AL108" s="91"/>
      <c r="AM108" s="91"/>
      <c r="AN108" s="91"/>
      <c r="AO108" s="91"/>
      <c r="AP108" s="2"/>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7"/>
    </row>
    <row r="109" spans="2:76" ht="15" customHeight="1" x14ac:dyDescent="0.3">
      <c r="J109" s="2" t="s">
        <v>533</v>
      </c>
      <c r="K109" s="168"/>
      <c r="L109" s="40" t="s">
        <v>175</v>
      </c>
      <c r="N109" s="168"/>
      <c r="O109" s="40" t="s">
        <v>155</v>
      </c>
      <c r="T109" s="183"/>
      <c r="U109" s="183"/>
      <c r="V109" s="183"/>
      <c r="W109" s="40" t="s">
        <v>44</v>
      </c>
      <c r="Y109" s="176"/>
      <c r="Z109" s="176"/>
      <c r="AA109" s="176"/>
      <c r="AB109" s="40" t="s">
        <v>45</v>
      </c>
      <c r="AL109" s="128">
        <f>IF(AND(ISBLANK(K109),ISBLANK(N109)),1,2)</f>
        <v>1</v>
      </c>
      <c r="AM109" s="128">
        <f>IF(ISBLANK(K109),1,2)</f>
        <v>1</v>
      </c>
      <c r="AN109" s="128"/>
      <c r="AO109" s="91"/>
      <c r="AP109" s="2"/>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7"/>
    </row>
    <row r="110" spans="2:76" ht="15" customHeight="1" x14ac:dyDescent="0.3">
      <c r="AN110" s="91"/>
      <c r="AO110" s="91"/>
      <c r="AP110" s="2"/>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7"/>
    </row>
    <row r="111" spans="2:76" ht="15" customHeight="1" x14ac:dyDescent="0.3">
      <c r="AK111" s="45"/>
      <c r="AN111" s="91"/>
      <c r="AO111" s="91"/>
      <c r="AP111" s="2"/>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7"/>
    </row>
    <row r="112" spans="2:76" ht="15" customHeight="1" x14ac:dyDescent="0.3">
      <c r="B112" s="216">
        <f>Tables!$C$13</f>
        <v>45383</v>
      </c>
      <c r="C112" s="216"/>
      <c r="D112" s="216"/>
      <c r="E112" s="216"/>
      <c r="F112" s="216"/>
      <c r="G112" s="216"/>
      <c r="H112" s="216"/>
      <c r="R112" s="184" t="s">
        <v>410</v>
      </c>
      <c r="S112" s="184"/>
      <c r="T112" s="184"/>
      <c r="U112" s="184"/>
      <c r="AK112" s="45"/>
      <c r="AN112" s="91"/>
      <c r="AO112" s="91"/>
      <c r="AP112" s="2"/>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7"/>
    </row>
    <row r="113" spans="2:76" ht="15" customHeight="1" x14ac:dyDescent="0.3">
      <c r="C113" s="2" t="s">
        <v>1</v>
      </c>
      <c r="D113" s="187">
        <f>IF(ISBLANK($E$13),0,$E$13)</f>
        <v>0</v>
      </c>
      <c r="E113" s="187"/>
      <c r="F113" s="187"/>
      <c r="G113" s="187"/>
      <c r="H113" s="187"/>
      <c r="I113" s="187"/>
      <c r="J113" s="187"/>
      <c r="K113" s="187"/>
      <c r="L113" s="187"/>
      <c r="M113" s="187"/>
      <c r="N113" s="187"/>
      <c r="O113" s="187"/>
      <c r="P113" s="187"/>
      <c r="Q113" s="187"/>
      <c r="R113" s="187"/>
      <c r="S113" s="187"/>
      <c r="T113" s="187"/>
      <c r="U113" s="187"/>
      <c r="V113" s="187"/>
      <c r="W113" s="187"/>
      <c r="X113" s="187"/>
      <c r="Y113" s="187"/>
      <c r="AD113" s="2" t="s">
        <v>21</v>
      </c>
      <c r="AE113" s="188">
        <f>IF(ISBLANK($AE$13),0,$AE$13)</f>
        <v>0</v>
      </c>
      <c r="AF113" s="188"/>
      <c r="AG113" s="188"/>
      <c r="AH113" s="188"/>
      <c r="AI113" s="188"/>
      <c r="AJ113" s="188"/>
      <c r="AN113" s="91"/>
      <c r="AO113" s="91"/>
      <c r="AP113" s="2"/>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7"/>
    </row>
    <row r="114" spans="2:76" ht="15" customHeight="1" x14ac:dyDescent="0.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D114" s="2" t="s">
        <v>35</v>
      </c>
      <c r="AE114" s="189">
        <f>IF(ISBLANK($AE$14),0,$AE$14)</f>
        <v>0</v>
      </c>
      <c r="AF114" s="189"/>
      <c r="AG114" s="189"/>
      <c r="AH114" s="189"/>
      <c r="AI114" s="189"/>
      <c r="AJ114" s="189"/>
      <c r="AN114" s="91"/>
      <c r="AO114" s="91"/>
      <c r="AP114" s="2"/>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7"/>
    </row>
    <row r="115" spans="2:76" ht="15" customHeight="1" x14ac:dyDescent="0.3">
      <c r="B115" s="2"/>
      <c r="C115" s="104" t="s">
        <v>534</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N115" s="91"/>
      <c r="AO115" s="91"/>
      <c r="AP115" s="2"/>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7"/>
    </row>
    <row r="116" spans="2:76" ht="15" customHeight="1" x14ac:dyDescent="0.3">
      <c r="N116" s="184" t="s">
        <v>24</v>
      </c>
      <c r="O116" s="184"/>
      <c r="P116" s="184"/>
      <c r="Q116" s="184"/>
      <c r="U116" s="4" t="s">
        <v>264</v>
      </c>
      <c r="Z116" s="4" t="s">
        <v>43</v>
      </c>
    </row>
    <row r="117" spans="2:76" ht="15" customHeight="1" x14ac:dyDescent="0.3">
      <c r="C117" s="104" t="s">
        <v>265</v>
      </c>
      <c r="I117" s="77"/>
      <c r="J117" s="40" t="s">
        <v>436</v>
      </c>
      <c r="N117" s="205"/>
      <c r="O117" s="205"/>
      <c r="P117" s="205"/>
      <c r="Q117" s="205"/>
      <c r="T117" s="176"/>
      <c r="U117" s="176"/>
      <c r="V117" s="176"/>
      <c r="W117" s="40" t="s">
        <v>44</v>
      </c>
      <c r="X117" s="2"/>
      <c r="Y117" s="176"/>
      <c r="Z117" s="176"/>
      <c r="AA117" s="176"/>
      <c r="AB117" s="40" t="s">
        <v>45</v>
      </c>
      <c r="AF117" s="2"/>
      <c r="AL117" s="128">
        <f>IF(ISBLANK(I117),1,2)</f>
        <v>1</v>
      </c>
      <c r="AM117" s="128">
        <f>IF(ISBLANK(T117),1,2)</f>
        <v>1</v>
      </c>
    </row>
    <row r="118" spans="2:76" ht="4.95" customHeight="1" x14ac:dyDescent="0.3"/>
    <row r="119" spans="2:76" ht="15" customHeight="1" x14ac:dyDescent="0.3">
      <c r="C119" s="104" t="s">
        <v>266</v>
      </c>
      <c r="I119" s="77"/>
      <c r="J119" s="40" t="s">
        <v>436</v>
      </c>
      <c r="N119" s="205"/>
      <c r="O119" s="205"/>
      <c r="P119" s="205"/>
      <c r="Q119" s="205"/>
      <c r="T119" s="176"/>
      <c r="U119" s="176"/>
      <c r="V119" s="176"/>
      <c r="W119" s="40" t="s">
        <v>44</v>
      </c>
      <c r="AC119" s="2" t="s">
        <v>270</v>
      </c>
      <c r="AD119" s="177"/>
      <c r="AE119" s="177"/>
      <c r="AF119" s="177"/>
      <c r="AG119" s="40" t="s">
        <v>263</v>
      </c>
      <c r="AL119" s="128">
        <f>IF(ISBLANK(I119),1,2)</f>
        <v>1</v>
      </c>
      <c r="AM119" s="128">
        <f>IF(ISBLANK(AD119),1,2)</f>
        <v>1</v>
      </c>
    </row>
    <row r="120" spans="2:76" ht="15" customHeight="1" x14ac:dyDescent="0.3">
      <c r="B120" s="1" t="s">
        <v>392</v>
      </c>
    </row>
    <row r="121" spans="2:76" s="97" customFormat="1" ht="4.95" customHeight="1" x14ac:dyDescent="0.3">
      <c r="B121" s="1"/>
      <c r="C121" s="1"/>
      <c r="D121" s="1"/>
      <c r="E121" s="1"/>
      <c r="F121" s="1"/>
      <c r="G121" s="1"/>
      <c r="H121" s="1"/>
      <c r="I121" s="1"/>
      <c r="AL121" s="98"/>
      <c r="AM121" s="98"/>
      <c r="AN121" s="98"/>
      <c r="AO121" s="98"/>
    </row>
    <row r="122" spans="2:76" ht="15" customHeight="1" x14ac:dyDescent="0.3">
      <c r="E122" s="2" t="s">
        <v>181</v>
      </c>
      <c r="F122" s="205"/>
      <c r="G122" s="205"/>
      <c r="H122" s="205"/>
      <c r="I122" s="205"/>
      <c r="J122" s="97"/>
      <c r="K122" s="97"/>
      <c r="L122" s="97"/>
      <c r="O122" s="2" t="s">
        <v>182</v>
      </c>
      <c r="P122" s="205"/>
      <c r="Q122" s="205"/>
      <c r="R122" s="205"/>
      <c r="AC122" s="2"/>
      <c r="AE122" s="2" t="s">
        <v>154</v>
      </c>
      <c r="AF122" s="77"/>
      <c r="AG122" s="40" t="s">
        <v>130</v>
      </c>
      <c r="AI122" s="77"/>
      <c r="AJ122" s="40" t="s">
        <v>131</v>
      </c>
      <c r="AM122" s="128">
        <f>IF(AND(ISBLANK(AF122),ISBLANK(AI122)),1,2)</f>
        <v>1</v>
      </c>
    </row>
    <row r="123" spans="2:76" ht="15" customHeight="1" x14ac:dyDescent="0.3">
      <c r="E123" s="2" t="s">
        <v>180</v>
      </c>
      <c r="F123" s="182"/>
      <c r="G123" s="182"/>
      <c r="H123" s="182"/>
      <c r="I123" s="182"/>
      <c r="J123" s="40" t="s">
        <v>45</v>
      </c>
      <c r="K123" s="45"/>
      <c r="AL123" s="128">
        <f>IF(ISBLANK(F123),1,2)</f>
        <v>1</v>
      </c>
    </row>
    <row r="124" spans="2:76" ht="15" customHeight="1" x14ac:dyDescent="0.3">
      <c r="E124" s="2" t="s">
        <v>179</v>
      </c>
      <c r="F124" s="182"/>
      <c r="G124" s="182"/>
      <c r="H124" s="182"/>
      <c r="I124" s="182"/>
      <c r="J124" s="40" t="s">
        <v>45</v>
      </c>
      <c r="K124" s="45"/>
      <c r="O124" s="2" t="s">
        <v>46</v>
      </c>
      <c r="P124" s="176"/>
      <c r="Q124" s="176"/>
      <c r="R124" s="176"/>
      <c r="S124" s="40" t="s">
        <v>45</v>
      </c>
      <c r="AL124" s="128">
        <f>IF(AND(ISBLANK(F124),ISBLANK(P124)),1,2)</f>
        <v>1</v>
      </c>
    </row>
    <row r="125" spans="2:76" ht="15" customHeight="1" x14ac:dyDescent="0.3">
      <c r="E125" s="2" t="s">
        <v>174</v>
      </c>
      <c r="F125" s="182"/>
      <c r="G125" s="182"/>
      <c r="H125" s="182"/>
      <c r="I125" s="182"/>
      <c r="J125" s="40" t="s">
        <v>45</v>
      </c>
      <c r="K125" s="45"/>
      <c r="O125" s="2" t="s">
        <v>47</v>
      </c>
      <c r="P125" s="182"/>
      <c r="Q125" s="182"/>
      <c r="R125" s="182"/>
      <c r="S125" s="40" t="s">
        <v>45</v>
      </c>
      <c r="AM125" s="128">
        <f>IF(AND(ISBLANK(AF125),ISBLANK(AI125)),1,2)</f>
        <v>1</v>
      </c>
    </row>
    <row r="126" spans="2:76" ht="4.95" customHeight="1" x14ac:dyDescent="0.3">
      <c r="E126" s="2"/>
      <c r="F126" s="44"/>
      <c r="G126" s="44"/>
      <c r="H126" s="44"/>
      <c r="I126" s="44"/>
      <c r="J126" s="45"/>
      <c r="K126" s="45"/>
      <c r="Q126" s="2"/>
      <c r="R126" s="45"/>
      <c r="S126" s="45"/>
    </row>
    <row r="127" spans="2:76" ht="15" customHeight="1" x14ac:dyDescent="0.3">
      <c r="F127" s="184" t="s">
        <v>34</v>
      </c>
      <c r="G127" s="184"/>
      <c r="H127" s="184"/>
      <c r="I127" s="184"/>
      <c r="J127" s="45"/>
      <c r="K127" s="45"/>
      <c r="L127" s="4" t="s">
        <v>379</v>
      </c>
      <c r="N127" s="4"/>
      <c r="O127" s="4"/>
      <c r="P127" s="4"/>
      <c r="Q127" s="4" t="s">
        <v>380</v>
      </c>
      <c r="S127" s="4"/>
      <c r="V127" s="4" t="s">
        <v>43</v>
      </c>
      <c r="AA127" s="4" t="s">
        <v>83</v>
      </c>
      <c r="AB127" s="4"/>
      <c r="AC127" s="4"/>
      <c r="AF127" s="4" t="s">
        <v>516</v>
      </c>
      <c r="AG127" s="4"/>
      <c r="AH127" s="4"/>
    </row>
    <row r="128" spans="2:76" ht="15" customHeight="1" x14ac:dyDescent="0.3">
      <c r="E128" s="2" t="s">
        <v>177</v>
      </c>
      <c r="F128" s="205"/>
      <c r="G128" s="205"/>
      <c r="H128" s="205"/>
      <c r="I128" s="205"/>
      <c r="J128" s="45"/>
      <c r="K128" s="176"/>
      <c r="L128" s="176"/>
      <c r="M128" s="176"/>
      <c r="N128" s="40" t="s">
        <v>44</v>
      </c>
      <c r="O128" s="4"/>
      <c r="P128" s="176"/>
      <c r="Q128" s="176"/>
      <c r="R128" s="176"/>
      <c r="S128" s="40" t="s">
        <v>44</v>
      </c>
      <c r="U128" s="176"/>
      <c r="V128" s="176"/>
      <c r="W128" s="176"/>
      <c r="X128" s="40" t="s">
        <v>45</v>
      </c>
      <c r="Z128" s="176"/>
      <c r="AA128" s="176"/>
      <c r="AB128" s="176"/>
      <c r="AC128" s="40" t="s">
        <v>45</v>
      </c>
      <c r="AE128" s="176"/>
      <c r="AF128" s="176"/>
      <c r="AG128" s="176"/>
      <c r="AH128" s="40" t="s">
        <v>507</v>
      </c>
      <c r="AL128" s="128">
        <f>IF(ISBLANK(F128),1,2)</f>
        <v>1</v>
      </c>
      <c r="AM128" s="128">
        <f>IF(AND(ISBLANK(AF128),ISBLANK(AI128)),1,2)</f>
        <v>1</v>
      </c>
    </row>
    <row r="129" spans="2:41" ht="4.95" customHeight="1" x14ac:dyDescent="0.3">
      <c r="E129" s="2"/>
      <c r="F129" s="2"/>
      <c r="G129" s="2"/>
      <c r="H129" s="2"/>
      <c r="I129" s="2"/>
      <c r="J129" s="45"/>
      <c r="K129" s="2"/>
      <c r="L129" s="2"/>
      <c r="N129" s="2"/>
      <c r="O129" s="4"/>
      <c r="P129" s="2"/>
      <c r="S129" s="2"/>
      <c r="U129" s="2"/>
      <c r="V129" s="2"/>
      <c r="X129" s="2"/>
      <c r="Y129" s="2"/>
      <c r="Z129" s="2"/>
      <c r="AC129" s="2"/>
      <c r="AD129" s="2"/>
      <c r="AE129" s="2"/>
      <c r="AF129" s="2"/>
      <c r="AG129" s="2"/>
      <c r="AH129" s="2"/>
      <c r="AI129" s="2"/>
      <c r="AJ129" s="2"/>
    </row>
    <row r="130" spans="2:41" ht="15" customHeight="1" x14ac:dyDescent="0.3">
      <c r="E130" s="2" t="s">
        <v>176</v>
      </c>
      <c r="F130" s="205"/>
      <c r="G130" s="205"/>
      <c r="H130" s="205"/>
      <c r="I130" s="205"/>
      <c r="J130" s="45"/>
      <c r="K130" s="176"/>
      <c r="L130" s="176"/>
      <c r="M130" s="176"/>
      <c r="N130" s="40" t="str">
        <f>IF(F130="V-notch","deg","in")</f>
        <v>in</v>
      </c>
      <c r="O130" s="4"/>
      <c r="P130" s="176"/>
      <c r="Q130" s="176"/>
      <c r="R130" s="176"/>
      <c r="S130" s="40" t="s">
        <v>44</v>
      </c>
      <c r="U130" s="176"/>
      <c r="V130" s="176"/>
      <c r="W130" s="176"/>
      <c r="X130" s="40" t="s">
        <v>45</v>
      </c>
      <c r="AC130" s="2"/>
      <c r="AE130" s="2" t="s">
        <v>466</v>
      </c>
      <c r="AF130" s="77"/>
      <c r="AG130" s="40" t="s">
        <v>130</v>
      </c>
      <c r="AI130" s="77"/>
      <c r="AJ130" s="40" t="s">
        <v>131</v>
      </c>
      <c r="AL130" s="128">
        <f>IF(ISBLANK(F130),1,2)</f>
        <v>1</v>
      </c>
      <c r="AM130" s="128">
        <f>IF(AND(ISBLANK(AF130),ISBLANK(AI130)),1,2)</f>
        <v>1</v>
      </c>
      <c r="AN130" s="128">
        <f>IF(ISBLANK(AI130),1,IF(AM62=2,1,2))</f>
        <v>1</v>
      </c>
    </row>
    <row r="131" spans="2:41" ht="15" customHeight="1" x14ac:dyDescent="0.3">
      <c r="C131" s="218" t="s">
        <v>210</v>
      </c>
      <c r="D131" s="218"/>
      <c r="E131" s="218"/>
      <c r="F131" s="205"/>
      <c r="G131" s="205"/>
      <c r="H131" s="205"/>
      <c r="I131" s="205"/>
      <c r="J131" s="45"/>
      <c r="K131" s="176"/>
      <c r="L131" s="176"/>
      <c r="M131" s="176"/>
      <c r="N131" s="40" t="str">
        <f>IF(F131="V-notch","deg","in")</f>
        <v>in</v>
      </c>
      <c r="O131" s="4"/>
      <c r="P131" s="176"/>
      <c r="Q131" s="176"/>
      <c r="R131" s="176"/>
      <c r="S131" s="40" t="s">
        <v>44</v>
      </c>
      <c r="U131" s="176"/>
      <c r="V131" s="176"/>
      <c r="W131" s="176"/>
      <c r="X131" s="40" t="s">
        <v>45</v>
      </c>
      <c r="AL131" s="128">
        <f>IF(C131="None: ",3,IF(OR(C131="Orifice: ",C131="Weir: "),2,1))</f>
        <v>1</v>
      </c>
    </row>
    <row r="132" spans="2:41" ht="15" customHeight="1" x14ac:dyDescent="0.3">
      <c r="C132" s="218" t="s">
        <v>210</v>
      </c>
      <c r="D132" s="218"/>
      <c r="E132" s="218"/>
      <c r="F132" s="205"/>
      <c r="G132" s="205"/>
      <c r="H132" s="205"/>
      <c r="I132" s="205"/>
      <c r="J132" s="45"/>
      <c r="K132" s="176"/>
      <c r="L132" s="176"/>
      <c r="M132" s="176"/>
      <c r="N132" s="40" t="str">
        <f t="shared" ref="N132:N137" si="5">IF(F132="V-notch","deg","in")</f>
        <v>in</v>
      </c>
      <c r="O132" s="4"/>
      <c r="P132" s="176"/>
      <c r="Q132" s="176"/>
      <c r="R132" s="176"/>
      <c r="S132" s="40" t="s">
        <v>44</v>
      </c>
      <c r="U132" s="176"/>
      <c r="V132" s="176"/>
      <c r="W132" s="176"/>
      <c r="X132" s="40" t="s">
        <v>45</v>
      </c>
      <c r="AL132" s="128">
        <f t="shared" ref="AL132:AL137" si="6">IF(C132="None:",3,IF(OR(C132="Orifice: ",C132="Weir: "),2,1))</f>
        <v>1</v>
      </c>
    </row>
    <row r="133" spans="2:41" ht="15" customHeight="1" x14ac:dyDescent="0.3">
      <c r="C133" s="218" t="s">
        <v>210</v>
      </c>
      <c r="D133" s="218"/>
      <c r="E133" s="218"/>
      <c r="F133" s="205"/>
      <c r="G133" s="205"/>
      <c r="H133" s="205"/>
      <c r="I133" s="205"/>
      <c r="J133" s="45"/>
      <c r="K133" s="182"/>
      <c r="L133" s="182"/>
      <c r="M133" s="182"/>
      <c r="N133" s="40" t="str">
        <f t="shared" si="5"/>
        <v>in</v>
      </c>
      <c r="O133" s="4"/>
      <c r="P133" s="182"/>
      <c r="Q133" s="182"/>
      <c r="R133" s="182"/>
      <c r="S133" s="40" t="s">
        <v>44</v>
      </c>
      <c r="U133" s="182"/>
      <c r="V133" s="182"/>
      <c r="W133" s="182"/>
      <c r="X133" s="40" t="s">
        <v>45</v>
      </c>
      <c r="AL133" s="128">
        <f t="shared" si="6"/>
        <v>1</v>
      </c>
    </row>
    <row r="134" spans="2:41" ht="15" customHeight="1" x14ac:dyDescent="0.3">
      <c r="C134" s="218" t="s">
        <v>210</v>
      </c>
      <c r="D134" s="218"/>
      <c r="E134" s="218"/>
      <c r="F134" s="205"/>
      <c r="G134" s="205"/>
      <c r="H134" s="205"/>
      <c r="I134" s="205"/>
      <c r="J134" s="45"/>
      <c r="K134" s="182"/>
      <c r="L134" s="182"/>
      <c r="M134" s="182"/>
      <c r="N134" s="40" t="str">
        <f t="shared" si="5"/>
        <v>in</v>
      </c>
      <c r="O134" s="4"/>
      <c r="P134" s="182"/>
      <c r="Q134" s="182"/>
      <c r="R134" s="182"/>
      <c r="S134" s="40" t="s">
        <v>44</v>
      </c>
      <c r="U134" s="182"/>
      <c r="V134" s="182"/>
      <c r="W134" s="182"/>
      <c r="X134" s="40" t="s">
        <v>45</v>
      </c>
      <c r="AL134" s="128">
        <f t="shared" si="6"/>
        <v>1</v>
      </c>
    </row>
    <row r="135" spans="2:41" ht="15" customHeight="1" x14ac:dyDescent="0.3">
      <c r="C135" s="218" t="s">
        <v>210</v>
      </c>
      <c r="D135" s="218"/>
      <c r="E135" s="218"/>
      <c r="F135" s="205"/>
      <c r="G135" s="205"/>
      <c r="H135" s="205"/>
      <c r="I135" s="205"/>
      <c r="J135" s="45"/>
      <c r="K135" s="182"/>
      <c r="L135" s="182"/>
      <c r="M135" s="182"/>
      <c r="N135" s="40" t="str">
        <f t="shared" si="5"/>
        <v>in</v>
      </c>
      <c r="O135" s="4"/>
      <c r="P135" s="182"/>
      <c r="Q135" s="182"/>
      <c r="R135" s="182"/>
      <c r="S135" s="40" t="s">
        <v>44</v>
      </c>
      <c r="U135" s="182"/>
      <c r="V135" s="182"/>
      <c r="W135" s="182"/>
      <c r="X135" s="40" t="s">
        <v>45</v>
      </c>
      <c r="AL135" s="128">
        <f t="shared" si="6"/>
        <v>1</v>
      </c>
    </row>
    <row r="136" spans="2:41" ht="15" customHeight="1" x14ac:dyDescent="0.3">
      <c r="C136" s="218" t="s">
        <v>210</v>
      </c>
      <c r="D136" s="218"/>
      <c r="E136" s="218"/>
      <c r="F136" s="205"/>
      <c r="G136" s="205"/>
      <c r="H136" s="205"/>
      <c r="I136" s="205"/>
      <c r="J136" s="45"/>
      <c r="K136" s="182"/>
      <c r="L136" s="182"/>
      <c r="M136" s="182"/>
      <c r="N136" s="40" t="str">
        <f t="shared" si="5"/>
        <v>in</v>
      </c>
      <c r="O136" s="4"/>
      <c r="P136" s="182"/>
      <c r="Q136" s="182"/>
      <c r="R136" s="182"/>
      <c r="S136" s="40" t="s">
        <v>44</v>
      </c>
      <c r="U136" s="182"/>
      <c r="V136" s="182"/>
      <c r="W136" s="182"/>
      <c r="X136" s="40" t="s">
        <v>45</v>
      </c>
      <c r="AL136" s="128">
        <f t="shared" si="6"/>
        <v>1</v>
      </c>
    </row>
    <row r="137" spans="2:41" ht="15" customHeight="1" x14ac:dyDescent="0.3">
      <c r="C137" s="218" t="s">
        <v>210</v>
      </c>
      <c r="D137" s="218"/>
      <c r="E137" s="218"/>
      <c r="F137" s="205"/>
      <c r="G137" s="205"/>
      <c r="H137" s="205"/>
      <c r="I137" s="205"/>
      <c r="J137" s="45"/>
      <c r="K137" s="182"/>
      <c r="L137" s="182"/>
      <c r="M137" s="182"/>
      <c r="N137" s="40" t="str">
        <f t="shared" si="5"/>
        <v>in</v>
      </c>
      <c r="O137" s="4"/>
      <c r="P137" s="182"/>
      <c r="Q137" s="182"/>
      <c r="R137" s="182"/>
      <c r="S137" s="40" t="s">
        <v>44</v>
      </c>
      <c r="U137" s="182"/>
      <c r="V137" s="182"/>
      <c r="W137" s="182"/>
      <c r="X137" s="40" t="s">
        <v>45</v>
      </c>
      <c r="AL137" s="128">
        <f t="shared" si="6"/>
        <v>1</v>
      </c>
      <c r="AO137" s="128">
        <f>IF(ISBLANK(K139),1,2)</f>
        <v>1</v>
      </c>
    </row>
    <row r="138" spans="2:41" ht="4.95" customHeight="1" x14ac:dyDescent="0.3"/>
    <row r="139" spans="2:41" ht="15" customHeight="1" x14ac:dyDescent="0.3">
      <c r="B139" s="1" t="s">
        <v>14</v>
      </c>
      <c r="C139" s="1"/>
      <c r="D139" s="1"/>
      <c r="E139" s="1"/>
      <c r="F139" s="1"/>
      <c r="G139" s="1"/>
      <c r="H139" s="1"/>
      <c r="I139" s="1"/>
      <c r="K139" s="77"/>
      <c r="L139" s="40" t="s">
        <v>130</v>
      </c>
      <c r="O139" s="77"/>
      <c r="P139" s="40" t="s">
        <v>131</v>
      </c>
      <c r="Z139" s="2"/>
      <c r="AE139" s="2" t="s">
        <v>154</v>
      </c>
      <c r="AF139" s="77"/>
      <c r="AG139" s="40" t="s">
        <v>130</v>
      </c>
      <c r="AH139" s="48"/>
      <c r="AI139" s="77"/>
      <c r="AJ139" s="48" t="s">
        <v>155</v>
      </c>
      <c r="AL139" s="132">
        <f>IF(AND(ISBLANK(AF139),ISBLANK(AI139)),1,2)</f>
        <v>1</v>
      </c>
      <c r="AM139" s="128">
        <f>SUM(AM141:AM142,AM144,AO141:AO142,AO144)</f>
        <v>0</v>
      </c>
      <c r="AN139" s="15" t="s">
        <v>276</v>
      </c>
      <c r="AO139" s="128">
        <f>IF(AND(ISBLANK(K139),ISBLANK(O139)),1,2)</f>
        <v>1</v>
      </c>
    </row>
    <row r="140" spans="2:41" ht="4.95" customHeight="1" x14ac:dyDescent="0.3">
      <c r="B140" s="1"/>
      <c r="C140" s="1"/>
      <c r="D140" s="1"/>
      <c r="E140" s="1"/>
      <c r="F140" s="1"/>
      <c r="G140" s="1"/>
      <c r="H140" s="1"/>
      <c r="I140" s="1"/>
      <c r="AJ140" s="48"/>
      <c r="AL140" s="99"/>
    </row>
    <row r="141" spans="2:41" ht="15" customHeight="1" x14ac:dyDescent="0.3">
      <c r="E141" s="2" t="s">
        <v>181</v>
      </c>
      <c r="F141" s="205"/>
      <c r="G141" s="205"/>
      <c r="H141" s="205"/>
      <c r="I141" s="205"/>
      <c r="N141" s="2" t="s">
        <v>182</v>
      </c>
      <c r="O141" s="205"/>
      <c r="P141" s="205"/>
      <c r="Q141" s="205"/>
      <c r="AI141" s="48"/>
      <c r="AJ141" s="48"/>
      <c r="AL141" s="91" t="s">
        <v>56</v>
      </c>
      <c r="AM141" s="128">
        <f>IF(ISBLANK(F142),0,1)</f>
        <v>0</v>
      </c>
      <c r="AN141" s="91" t="s">
        <v>24</v>
      </c>
      <c r="AO141" s="128">
        <f>IF(ISBLANK(F141),0,1)</f>
        <v>0</v>
      </c>
    </row>
    <row r="142" spans="2:41" ht="15" customHeight="1" x14ac:dyDescent="0.3">
      <c r="E142" s="2" t="s">
        <v>179</v>
      </c>
      <c r="F142" s="182"/>
      <c r="G142" s="182"/>
      <c r="H142" s="182"/>
      <c r="I142" s="182"/>
      <c r="J142" s="40" t="s">
        <v>45</v>
      </c>
      <c r="N142" s="2" t="s">
        <v>183</v>
      </c>
      <c r="O142" s="182"/>
      <c r="P142" s="182"/>
      <c r="Q142" s="182"/>
      <c r="R142" s="40" t="s">
        <v>45</v>
      </c>
      <c r="V142" s="2" t="s">
        <v>212</v>
      </c>
      <c r="W142" s="176"/>
      <c r="X142" s="176"/>
      <c r="Y142" s="176"/>
      <c r="Z142" s="40" t="s">
        <v>45</v>
      </c>
      <c r="AE142" s="2" t="s">
        <v>122</v>
      </c>
      <c r="AF142" s="176"/>
      <c r="AG142" s="176"/>
      <c r="AH142" s="176"/>
      <c r="AI142" s="40" t="s">
        <v>45</v>
      </c>
      <c r="AL142" s="91" t="s">
        <v>83</v>
      </c>
      <c r="AM142" s="128">
        <f>IF(ISBLANK(O142),0,1)</f>
        <v>0</v>
      </c>
      <c r="AN142" s="91" t="s">
        <v>34</v>
      </c>
      <c r="AO142" s="128">
        <f>IF(ISBLANK(O141),0,1)</f>
        <v>0</v>
      </c>
    </row>
    <row r="143" spans="2:41" ht="4.95" customHeight="1" x14ac:dyDescent="0.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L143" s="91"/>
      <c r="AN143" s="91"/>
    </row>
    <row r="144" spans="2:41" ht="15" customHeight="1" x14ac:dyDescent="0.3">
      <c r="B144" s="1" t="s">
        <v>15</v>
      </c>
      <c r="N144" s="46" t="s">
        <v>49</v>
      </c>
      <c r="O144" s="203"/>
      <c r="P144" s="203"/>
      <c r="Q144" s="203"/>
      <c r="R144" s="203"/>
      <c r="V144" s="2" t="s">
        <v>50</v>
      </c>
      <c r="W144" s="204"/>
      <c r="X144" s="204"/>
      <c r="Y144" s="204"/>
      <c r="Z144" s="204"/>
      <c r="AL144" s="91" t="s">
        <v>84</v>
      </c>
      <c r="AM144" s="128">
        <f>IF(ISBLANK(W142),0,1)</f>
        <v>0</v>
      </c>
      <c r="AN144" s="91" t="s">
        <v>85</v>
      </c>
      <c r="AO144" s="128">
        <f>IF(ISBLANK(AF142),0,1)</f>
        <v>0</v>
      </c>
    </row>
    <row r="145" spans="2:41" ht="4.95" customHeight="1" x14ac:dyDescent="0.3">
      <c r="B145" s="1"/>
      <c r="AL145" s="91"/>
      <c r="AN145" s="91"/>
    </row>
    <row r="146" spans="2:41" ht="19.95" customHeight="1" x14ac:dyDescent="0.3">
      <c r="B146" s="1" t="s">
        <v>277</v>
      </c>
      <c r="C146" s="1"/>
      <c r="D146" s="1"/>
      <c r="E146" s="1"/>
      <c r="F146" s="1"/>
      <c r="G146" s="1"/>
      <c r="H146" s="1"/>
      <c r="I146" s="1"/>
      <c r="AL146" s="91" t="s">
        <v>156</v>
      </c>
      <c r="AM146" s="128">
        <f>IF(ISBLANK(O144),0,1)</f>
        <v>0</v>
      </c>
      <c r="AN146" s="91" t="s">
        <v>158</v>
      </c>
      <c r="AO146" s="128">
        <f>SUM(AM146:AM147)</f>
        <v>0</v>
      </c>
    </row>
    <row r="147" spans="2:41" ht="15" customHeight="1" x14ac:dyDescent="0.3">
      <c r="C147" s="184" t="s">
        <v>17</v>
      </c>
      <c r="D147" s="184"/>
      <c r="E147" s="184"/>
      <c r="F147" s="4"/>
      <c r="G147" s="4"/>
      <c r="H147" s="4"/>
      <c r="I147" s="4" t="s">
        <v>18</v>
      </c>
      <c r="K147" s="4"/>
      <c r="L147" s="4"/>
      <c r="M147" s="40" t="s">
        <v>53</v>
      </c>
      <c r="T147" s="4" t="s">
        <v>17</v>
      </c>
      <c r="V147" s="4"/>
      <c r="W147" s="4"/>
      <c r="Y147" s="4" t="s">
        <v>18</v>
      </c>
      <c r="Z147" s="4"/>
      <c r="AC147" s="40" t="s">
        <v>53</v>
      </c>
      <c r="AL147" s="91" t="s">
        <v>157</v>
      </c>
      <c r="AM147" s="128">
        <f>IF(ISBLANK(W144),0,1)</f>
        <v>0</v>
      </c>
    </row>
    <row r="148" spans="2:41" ht="15" customHeight="1" x14ac:dyDescent="0.3">
      <c r="C148" s="176"/>
      <c r="D148" s="176"/>
      <c r="E148" s="176"/>
      <c r="F148" s="40" t="s">
        <v>45</v>
      </c>
      <c r="H148" s="179"/>
      <c r="I148" s="179"/>
      <c r="J148" s="179"/>
      <c r="K148" s="40" t="s">
        <v>41</v>
      </c>
      <c r="M148" s="179"/>
      <c r="N148" s="179"/>
      <c r="O148" s="179"/>
      <c r="P148" s="179"/>
      <c r="Q148" s="40" t="s">
        <v>39</v>
      </c>
      <c r="S148" s="176"/>
      <c r="T148" s="176"/>
      <c r="U148" s="176"/>
      <c r="V148" s="40" t="s">
        <v>45</v>
      </c>
      <c r="W148" s="45"/>
      <c r="X148" s="179"/>
      <c r="Y148" s="179"/>
      <c r="Z148" s="179"/>
      <c r="AA148" s="40" t="s">
        <v>41</v>
      </c>
      <c r="AC148" s="179"/>
      <c r="AD148" s="179"/>
      <c r="AE148" s="179"/>
      <c r="AF148" s="179"/>
      <c r="AG148" s="40" t="s">
        <v>39</v>
      </c>
      <c r="AL148" s="128">
        <f t="shared" ref="AL148:AL157" si="7">IF(ISBLANK(C148),1,2)</f>
        <v>1</v>
      </c>
      <c r="AM148" s="128">
        <f t="shared" ref="AM148:AM157" si="8">IF(ISBLANK(S148),1,2)</f>
        <v>1</v>
      </c>
      <c r="AN148" s="128">
        <f>IF(ISBLANK(H148),1,2)</f>
        <v>1</v>
      </c>
      <c r="AO148" s="128">
        <f>IF(ISBLANK(M148),1,2)</f>
        <v>1</v>
      </c>
    </row>
    <row r="149" spans="2:41" ht="15" customHeight="1" x14ac:dyDescent="0.3">
      <c r="C149" s="182"/>
      <c r="D149" s="182"/>
      <c r="E149" s="182"/>
      <c r="F149" s="40" t="s">
        <v>45</v>
      </c>
      <c r="H149" s="180"/>
      <c r="I149" s="180"/>
      <c r="J149" s="180"/>
      <c r="K149" s="40" t="s">
        <v>41</v>
      </c>
      <c r="M149" s="180"/>
      <c r="N149" s="180"/>
      <c r="O149" s="180"/>
      <c r="P149" s="180"/>
      <c r="Q149" s="40" t="s">
        <v>39</v>
      </c>
      <c r="S149" s="182"/>
      <c r="T149" s="182"/>
      <c r="U149" s="182"/>
      <c r="V149" s="40" t="s">
        <v>45</v>
      </c>
      <c r="W149" s="45"/>
      <c r="X149" s="180"/>
      <c r="Y149" s="180"/>
      <c r="Z149" s="180"/>
      <c r="AA149" s="40" t="s">
        <v>41</v>
      </c>
      <c r="AC149" s="180"/>
      <c r="AD149" s="180"/>
      <c r="AE149" s="180"/>
      <c r="AF149" s="180"/>
      <c r="AG149" s="40" t="s">
        <v>39</v>
      </c>
      <c r="AL149" s="128">
        <f t="shared" si="7"/>
        <v>1</v>
      </c>
      <c r="AM149" s="128">
        <f t="shared" si="8"/>
        <v>1</v>
      </c>
    </row>
    <row r="150" spans="2:41" ht="15" customHeight="1" x14ac:dyDescent="0.3">
      <c r="C150" s="182"/>
      <c r="D150" s="182"/>
      <c r="E150" s="182"/>
      <c r="F150" s="40" t="s">
        <v>45</v>
      </c>
      <c r="H150" s="180"/>
      <c r="I150" s="180"/>
      <c r="J150" s="180"/>
      <c r="K150" s="40" t="s">
        <v>41</v>
      </c>
      <c r="M150" s="180"/>
      <c r="N150" s="180"/>
      <c r="O150" s="180"/>
      <c r="P150" s="180"/>
      <c r="Q150" s="40" t="s">
        <v>39</v>
      </c>
      <c r="S150" s="182"/>
      <c r="T150" s="182"/>
      <c r="U150" s="182"/>
      <c r="V150" s="40" t="s">
        <v>45</v>
      </c>
      <c r="W150" s="45"/>
      <c r="X150" s="180"/>
      <c r="Y150" s="180"/>
      <c r="Z150" s="180"/>
      <c r="AA150" s="40" t="s">
        <v>41</v>
      </c>
      <c r="AC150" s="180"/>
      <c r="AD150" s="180"/>
      <c r="AE150" s="180"/>
      <c r="AF150" s="180"/>
      <c r="AG150" s="40" t="s">
        <v>39</v>
      </c>
      <c r="AL150" s="128">
        <f t="shared" si="7"/>
        <v>1</v>
      </c>
      <c r="AM150" s="128">
        <f t="shared" si="8"/>
        <v>1</v>
      </c>
    </row>
    <row r="151" spans="2:41" ht="15" customHeight="1" x14ac:dyDescent="0.3">
      <c r="C151" s="182"/>
      <c r="D151" s="182"/>
      <c r="E151" s="182"/>
      <c r="F151" s="40" t="s">
        <v>45</v>
      </c>
      <c r="H151" s="180"/>
      <c r="I151" s="180"/>
      <c r="J151" s="180"/>
      <c r="K151" s="40" t="s">
        <v>41</v>
      </c>
      <c r="M151" s="180"/>
      <c r="N151" s="180"/>
      <c r="O151" s="180"/>
      <c r="P151" s="180"/>
      <c r="Q151" s="40" t="s">
        <v>39</v>
      </c>
      <c r="S151" s="182"/>
      <c r="T151" s="182"/>
      <c r="U151" s="182"/>
      <c r="V151" s="40" t="s">
        <v>45</v>
      </c>
      <c r="W151" s="45"/>
      <c r="X151" s="180"/>
      <c r="Y151" s="180"/>
      <c r="Z151" s="180"/>
      <c r="AA151" s="40" t="s">
        <v>41</v>
      </c>
      <c r="AC151" s="180"/>
      <c r="AD151" s="180"/>
      <c r="AE151" s="180"/>
      <c r="AF151" s="180"/>
      <c r="AG151" s="40" t="s">
        <v>39</v>
      </c>
      <c r="AL151" s="128">
        <f t="shared" si="7"/>
        <v>1</v>
      </c>
      <c r="AM151" s="128">
        <f t="shared" si="8"/>
        <v>1</v>
      </c>
    </row>
    <row r="152" spans="2:41" ht="15" customHeight="1" x14ac:dyDescent="0.3">
      <c r="C152" s="182"/>
      <c r="D152" s="182"/>
      <c r="E152" s="182"/>
      <c r="F152" s="40" t="s">
        <v>45</v>
      </c>
      <c r="H152" s="180"/>
      <c r="I152" s="180"/>
      <c r="J152" s="180"/>
      <c r="K152" s="40" t="s">
        <v>41</v>
      </c>
      <c r="M152" s="180"/>
      <c r="N152" s="180"/>
      <c r="O152" s="180"/>
      <c r="P152" s="180"/>
      <c r="Q152" s="40" t="s">
        <v>39</v>
      </c>
      <c r="S152" s="182"/>
      <c r="T152" s="182"/>
      <c r="U152" s="182"/>
      <c r="V152" s="40" t="s">
        <v>45</v>
      </c>
      <c r="W152" s="45"/>
      <c r="X152" s="180"/>
      <c r="Y152" s="180"/>
      <c r="Z152" s="180"/>
      <c r="AA152" s="40" t="s">
        <v>41</v>
      </c>
      <c r="AC152" s="180"/>
      <c r="AD152" s="180"/>
      <c r="AE152" s="180"/>
      <c r="AF152" s="180"/>
      <c r="AG152" s="40" t="s">
        <v>39</v>
      </c>
      <c r="AL152" s="128">
        <f t="shared" si="7"/>
        <v>1</v>
      </c>
      <c r="AM152" s="128">
        <f t="shared" si="8"/>
        <v>1</v>
      </c>
    </row>
    <row r="153" spans="2:41" ht="15" customHeight="1" x14ac:dyDescent="0.3">
      <c r="C153" s="182"/>
      <c r="D153" s="182"/>
      <c r="E153" s="182"/>
      <c r="F153" s="40" t="s">
        <v>45</v>
      </c>
      <c r="H153" s="180"/>
      <c r="I153" s="180"/>
      <c r="J153" s="180"/>
      <c r="K153" s="40" t="s">
        <v>41</v>
      </c>
      <c r="M153" s="180"/>
      <c r="N153" s="180"/>
      <c r="O153" s="180"/>
      <c r="P153" s="180"/>
      <c r="Q153" s="40" t="s">
        <v>39</v>
      </c>
      <c r="S153" s="182"/>
      <c r="T153" s="182"/>
      <c r="U153" s="182"/>
      <c r="V153" s="40" t="s">
        <v>45</v>
      </c>
      <c r="W153" s="45"/>
      <c r="X153" s="180"/>
      <c r="Y153" s="180"/>
      <c r="Z153" s="180"/>
      <c r="AA153" s="40" t="s">
        <v>41</v>
      </c>
      <c r="AC153" s="180"/>
      <c r="AD153" s="180"/>
      <c r="AE153" s="180"/>
      <c r="AF153" s="180"/>
      <c r="AG153" s="40" t="s">
        <v>39</v>
      </c>
      <c r="AL153" s="128">
        <f t="shared" si="7"/>
        <v>1</v>
      </c>
      <c r="AM153" s="128">
        <f t="shared" si="8"/>
        <v>1</v>
      </c>
    </row>
    <row r="154" spans="2:41" ht="15" customHeight="1" x14ac:dyDescent="0.3">
      <c r="C154" s="182"/>
      <c r="D154" s="182"/>
      <c r="E154" s="182"/>
      <c r="F154" s="40" t="s">
        <v>45</v>
      </c>
      <c r="H154" s="180"/>
      <c r="I154" s="180"/>
      <c r="J154" s="180"/>
      <c r="K154" s="40" t="s">
        <v>41</v>
      </c>
      <c r="M154" s="180"/>
      <c r="N154" s="180"/>
      <c r="O154" s="180"/>
      <c r="P154" s="180"/>
      <c r="Q154" s="40" t="s">
        <v>39</v>
      </c>
      <c r="S154" s="182"/>
      <c r="T154" s="182"/>
      <c r="U154" s="182"/>
      <c r="V154" s="40" t="s">
        <v>45</v>
      </c>
      <c r="W154" s="45"/>
      <c r="X154" s="180"/>
      <c r="Y154" s="180"/>
      <c r="Z154" s="180"/>
      <c r="AA154" s="40" t="s">
        <v>41</v>
      </c>
      <c r="AC154" s="180"/>
      <c r="AD154" s="180"/>
      <c r="AE154" s="180"/>
      <c r="AF154" s="180"/>
      <c r="AG154" s="40" t="s">
        <v>39</v>
      </c>
      <c r="AL154" s="128">
        <f t="shared" si="7"/>
        <v>1</v>
      </c>
      <c r="AM154" s="128">
        <f t="shared" si="8"/>
        <v>1</v>
      </c>
    </row>
    <row r="155" spans="2:41" ht="15" customHeight="1" x14ac:dyDescent="0.3">
      <c r="C155" s="182"/>
      <c r="D155" s="182"/>
      <c r="E155" s="182"/>
      <c r="F155" s="40" t="s">
        <v>45</v>
      </c>
      <c r="H155" s="180"/>
      <c r="I155" s="180"/>
      <c r="J155" s="180"/>
      <c r="K155" s="40" t="s">
        <v>41</v>
      </c>
      <c r="M155" s="180"/>
      <c r="N155" s="180"/>
      <c r="O155" s="180"/>
      <c r="P155" s="180"/>
      <c r="Q155" s="40" t="s">
        <v>39</v>
      </c>
      <c r="S155" s="182"/>
      <c r="T155" s="182"/>
      <c r="U155" s="182"/>
      <c r="V155" s="40" t="s">
        <v>45</v>
      </c>
      <c r="W155" s="45"/>
      <c r="X155" s="180"/>
      <c r="Y155" s="180"/>
      <c r="Z155" s="180"/>
      <c r="AA155" s="40" t="s">
        <v>41</v>
      </c>
      <c r="AC155" s="180"/>
      <c r="AD155" s="180"/>
      <c r="AE155" s="180"/>
      <c r="AF155" s="180"/>
      <c r="AG155" s="40" t="s">
        <v>39</v>
      </c>
      <c r="AL155" s="128">
        <f t="shared" si="7"/>
        <v>1</v>
      </c>
      <c r="AM155" s="128">
        <f t="shared" si="8"/>
        <v>1</v>
      </c>
    </row>
    <row r="156" spans="2:41" ht="15" customHeight="1" x14ac:dyDescent="0.3">
      <c r="C156" s="182"/>
      <c r="D156" s="182"/>
      <c r="E156" s="182"/>
      <c r="F156" s="40" t="s">
        <v>45</v>
      </c>
      <c r="H156" s="180"/>
      <c r="I156" s="180"/>
      <c r="J156" s="180"/>
      <c r="K156" s="40" t="s">
        <v>41</v>
      </c>
      <c r="M156" s="180"/>
      <c r="N156" s="180"/>
      <c r="O156" s="180"/>
      <c r="P156" s="180"/>
      <c r="Q156" s="40" t="s">
        <v>39</v>
      </c>
      <c r="S156" s="182"/>
      <c r="T156" s="182"/>
      <c r="U156" s="182"/>
      <c r="V156" s="40" t="s">
        <v>45</v>
      </c>
      <c r="W156" s="45"/>
      <c r="X156" s="180"/>
      <c r="Y156" s="180"/>
      <c r="Z156" s="180"/>
      <c r="AA156" s="40" t="s">
        <v>41</v>
      </c>
      <c r="AC156" s="180"/>
      <c r="AD156" s="180"/>
      <c r="AE156" s="180"/>
      <c r="AF156" s="180"/>
      <c r="AG156" s="40" t="s">
        <v>39</v>
      </c>
      <c r="AL156" s="128">
        <f t="shared" si="7"/>
        <v>1</v>
      </c>
      <c r="AM156" s="128">
        <f t="shared" si="8"/>
        <v>1</v>
      </c>
    </row>
    <row r="157" spans="2:41" ht="15" customHeight="1" x14ac:dyDescent="0.3">
      <c r="C157" s="182"/>
      <c r="D157" s="182"/>
      <c r="E157" s="182"/>
      <c r="F157" s="40" t="s">
        <v>45</v>
      </c>
      <c r="H157" s="180"/>
      <c r="I157" s="180"/>
      <c r="J157" s="180"/>
      <c r="K157" s="40" t="s">
        <v>41</v>
      </c>
      <c r="M157" s="180"/>
      <c r="N157" s="180"/>
      <c r="O157" s="180"/>
      <c r="P157" s="180"/>
      <c r="Q157" s="40" t="s">
        <v>39</v>
      </c>
      <c r="S157" s="182"/>
      <c r="T157" s="182"/>
      <c r="U157" s="182"/>
      <c r="V157" s="40" t="s">
        <v>45</v>
      </c>
      <c r="W157" s="45"/>
      <c r="X157" s="180"/>
      <c r="Y157" s="180"/>
      <c r="Z157" s="180"/>
      <c r="AA157" s="40" t="s">
        <v>41</v>
      </c>
      <c r="AC157" s="180"/>
      <c r="AD157" s="180"/>
      <c r="AE157" s="180"/>
      <c r="AF157" s="180"/>
      <c r="AG157" s="40" t="s">
        <v>39</v>
      </c>
      <c r="AL157" s="128">
        <f t="shared" si="7"/>
        <v>1</v>
      </c>
      <c r="AM157" s="128">
        <f t="shared" si="8"/>
        <v>1</v>
      </c>
    </row>
    <row r="158" spans="2:41" ht="19.95" customHeight="1" x14ac:dyDescent="0.3">
      <c r="G158" s="44" t="s">
        <v>54</v>
      </c>
      <c r="H158" s="213">
        <f>$W$27</f>
        <v>0</v>
      </c>
      <c r="I158" s="213"/>
      <c r="J158" s="213"/>
      <c r="K158" s="40" t="s">
        <v>39</v>
      </c>
      <c r="O158" s="100"/>
      <c r="P158" s="53"/>
      <c r="R158" s="44" t="s">
        <v>55</v>
      </c>
      <c r="S158" s="180"/>
      <c r="T158" s="180"/>
      <c r="U158" s="180"/>
      <c r="V158" s="40" t="s">
        <v>39</v>
      </c>
      <c r="AB158" s="53" t="s">
        <v>370</v>
      </c>
      <c r="AC158" s="191"/>
      <c r="AD158" s="191"/>
      <c r="AE158" s="191"/>
      <c r="AF158" s="191"/>
      <c r="AG158" s="40" t="s">
        <v>45</v>
      </c>
      <c r="AL158" s="91" t="s">
        <v>161</v>
      </c>
      <c r="AM158" s="128" t="str">
        <f>IF(ISBLANK(S158),"",IF(ISTEXT(S158),2,IF(OR(S158=H158,S158&gt;H158),1,2)))</f>
        <v/>
      </c>
      <c r="AN158" s="128">
        <f>IF(ISTEXT(S158),2,0)</f>
        <v>0</v>
      </c>
    </row>
    <row r="159" spans="2:41" ht="15" customHeight="1" x14ac:dyDescent="0.3">
      <c r="AM159" s="128">
        <f>IF(OR(ISBLANK(H158),ISBLANK(S158)),2,1)</f>
        <v>2</v>
      </c>
    </row>
    <row r="160" spans="2:41" ht="15" customHeight="1" x14ac:dyDescent="0.3">
      <c r="B160" s="216">
        <f>Tables!$C$13</f>
        <v>45383</v>
      </c>
      <c r="C160" s="216"/>
      <c r="D160" s="216"/>
      <c r="E160" s="216"/>
      <c r="F160" s="216"/>
      <c r="G160" s="216"/>
      <c r="H160" s="216"/>
      <c r="R160" s="184" t="s">
        <v>409</v>
      </c>
      <c r="S160" s="184"/>
      <c r="T160" s="184"/>
      <c r="U160" s="184"/>
      <c r="AK160" s="45"/>
    </row>
    <row r="161" spans="2:41" ht="15" customHeight="1" x14ac:dyDescent="0.3">
      <c r="C161" s="2" t="s">
        <v>1</v>
      </c>
      <c r="D161" s="187">
        <f>IF(ISBLANK($E$13),0,$E$13)</f>
        <v>0</v>
      </c>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51"/>
      <c r="AD161" s="2" t="s">
        <v>21</v>
      </c>
      <c r="AE161" s="188">
        <f>IF(ISBLANK($AE$13),0,$AE$13)</f>
        <v>0</v>
      </c>
      <c r="AF161" s="188"/>
      <c r="AG161" s="188"/>
      <c r="AH161" s="188"/>
      <c r="AI161" s="188"/>
      <c r="AJ161" s="188"/>
      <c r="AL161" s="15" t="s">
        <v>292</v>
      </c>
    </row>
    <row r="162" spans="2:41" ht="15" customHeight="1" x14ac:dyDescent="0.3">
      <c r="C162" s="52"/>
      <c r="D162" s="52"/>
      <c r="E162" s="52"/>
      <c r="F162" s="52"/>
      <c r="G162" s="52"/>
      <c r="H162" s="52"/>
      <c r="I162" s="52"/>
      <c r="J162" s="2"/>
      <c r="K162" s="2"/>
      <c r="L162" s="2"/>
      <c r="M162" s="2"/>
      <c r="N162" s="52"/>
      <c r="O162" s="51"/>
      <c r="P162" s="51"/>
      <c r="Q162" s="51"/>
      <c r="R162" s="51"/>
      <c r="S162" s="51"/>
      <c r="T162" s="51"/>
      <c r="U162" s="51"/>
      <c r="V162" s="51"/>
      <c r="W162" s="51"/>
      <c r="X162" s="51"/>
      <c r="Y162" s="51"/>
      <c r="Z162" s="51"/>
      <c r="AD162" s="2" t="s">
        <v>35</v>
      </c>
      <c r="AE162" s="189">
        <f>IF(ISBLANK($AE$14),0,$AE$14)</f>
        <v>0</v>
      </c>
      <c r="AF162" s="189"/>
      <c r="AG162" s="189"/>
      <c r="AH162" s="189"/>
      <c r="AI162" s="189"/>
      <c r="AJ162" s="189"/>
      <c r="AL162" s="128">
        <f>IF(ISBLANK(K139),1,2)</f>
        <v>1</v>
      </c>
    </row>
    <row r="163" spans="2:41" ht="15" customHeight="1" x14ac:dyDescent="0.3">
      <c r="Q163" s="40" t="s">
        <v>228</v>
      </c>
      <c r="AL163" s="24" t="s">
        <v>80</v>
      </c>
      <c r="AM163" s="24" t="s">
        <v>327</v>
      </c>
      <c r="AN163" s="24" t="s">
        <v>81</v>
      </c>
      <c r="AO163" s="15" t="s">
        <v>384</v>
      </c>
    </row>
    <row r="164" spans="2:41" ht="30" customHeight="1" x14ac:dyDescent="0.3">
      <c r="B164" s="1" t="s">
        <v>273</v>
      </c>
      <c r="J164" s="1"/>
      <c r="K164" s="1"/>
      <c r="L164" s="1"/>
      <c r="M164" s="202" t="s">
        <v>66</v>
      </c>
      <c r="N164" s="202"/>
      <c r="O164" s="202"/>
      <c r="P164" s="101"/>
      <c r="Q164" s="202" t="s">
        <v>274</v>
      </c>
      <c r="R164" s="202"/>
      <c r="S164" s="202"/>
      <c r="T164" s="101"/>
      <c r="U164" s="202" t="s">
        <v>275</v>
      </c>
      <c r="V164" s="202"/>
      <c r="W164" s="202"/>
      <c r="X164" s="202" t="s">
        <v>371</v>
      </c>
      <c r="Y164" s="202"/>
      <c r="Z164" s="202"/>
      <c r="AA164" s="202"/>
      <c r="AB164" s="202"/>
      <c r="AC164" s="202" t="s">
        <v>297</v>
      </c>
      <c r="AD164" s="202"/>
      <c r="AE164" s="202"/>
      <c r="AF164" s="101"/>
      <c r="AG164" s="202" t="s">
        <v>68</v>
      </c>
      <c r="AH164" s="202"/>
      <c r="AI164" s="202"/>
      <c r="AJ164" s="202"/>
      <c r="AL164" s="128">
        <f>SUM(AL165:AL169)</f>
        <v>5</v>
      </c>
      <c r="AM164" s="128">
        <f>SUM(AM165:AM170)</f>
        <v>6</v>
      </c>
      <c r="AN164" s="128">
        <f>SUM(AN165:AN170)</f>
        <v>6</v>
      </c>
      <c r="AO164" s="131">
        <f>SUM(AO165:AO170)</f>
        <v>6</v>
      </c>
    </row>
    <row r="165" spans="2:41" ht="15" customHeight="1" x14ac:dyDescent="0.3">
      <c r="E165" s="45"/>
      <c r="F165" s="45"/>
      <c r="G165" s="190">
        <f>Tables!$C$16</f>
        <v>4.21</v>
      </c>
      <c r="H165" s="190"/>
      <c r="K165" s="2" t="str">
        <f>Tables!$A$16</f>
        <v>(2-yr)</v>
      </c>
      <c r="L165" s="2"/>
      <c r="M165" s="201"/>
      <c r="N165" s="201"/>
      <c r="O165" s="201"/>
      <c r="P165" s="6"/>
      <c r="Q165" s="201"/>
      <c r="R165" s="201"/>
      <c r="S165" s="201"/>
      <c r="U165" s="201"/>
      <c r="V165" s="201"/>
      <c r="W165" s="201"/>
      <c r="Y165" s="201"/>
      <c r="Z165" s="201"/>
      <c r="AA165" s="201"/>
      <c r="AC165" s="201"/>
      <c r="AD165" s="201"/>
      <c r="AE165" s="201"/>
      <c r="AG165" s="201"/>
      <c r="AH165" s="201"/>
      <c r="AI165" s="201"/>
      <c r="AL165" s="128">
        <f>IF(ISBLANK(Y165),1,IF(Y165&gt;W$142,1,0))</f>
        <v>1</v>
      </c>
      <c r="AM165" s="128">
        <f t="shared" ref="AM165:AM170" si="9">IF(ISBLANK(AC165),1,IF(AC165&gt;$AM$172,1,0))</f>
        <v>1</v>
      </c>
      <c r="AN165" s="128">
        <f t="shared" ref="AN165:AN170" si="10">IF(OR(ISBLANK(AG165),ISBLANK(M165)),1,IF(AG165&gt;M165,1,0))</f>
        <v>1</v>
      </c>
      <c r="AO165" s="131">
        <f>IF(OR(ISBLANK(M165),ISBLANK(AG165)),1,IF(AG165-M165&gt;-0.5,1,0))</f>
        <v>1</v>
      </c>
    </row>
    <row r="166" spans="2:41" ht="15" customHeight="1" x14ac:dyDescent="0.3">
      <c r="E166" s="45"/>
      <c r="F166" s="45"/>
      <c r="G166" s="190">
        <f>Tables!$C$17</f>
        <v>5.24</v>
      </c>
      <c r="H166" s="190"/>
      <c r="K166" s="2" t="str">
        <f>Tables!$A$17</f>
        <v>(5-yr)</v>
      </c>
      <c r="L166" s="2"/>
      <c r="M166" s="201"/>
      <c r="N166" s="201"/>
      <c r="O166" s="201"/>
      <c r="P166" s="6"/>
      <c r="Q166" s="191"/>
      <c r="R166" s="191"/>
      <c r="S166" s="191"/>
      <c r="U166" s="191"/>
      <c r="V166" s="191"/>
      <c r="W166" s="191"/>
      <c r="Y166" s="191"/>
      <c r="Z166" s="191"/>
      <c r="AA166" s="191"/>
      <c r="AC166" s="191"/>
      <c r="AD166" s="191"/>
      <c r="AE166" s="191"/>
      <c r="AG166" s="191"/>
      <c r="AH166" s="191"/>
      <c r="AI166" s="191"/>
      <c r="AL166" s="128">
        <f t="shared" ref="AL166:AL169" si="11">IF(ISBLANK(Y166),1,IF(Y166&gt;W$142,1,0))</f>
        <v>1</v>
      </c>
      <c r="AM166" s="128">
        <f t="shared" si="9"/>
        <v>1</v>
      </c>
      <c r="AN166" s="128">
        <f t="shared" si="10"/>
        <v>1</v>
      </c>
      <c r="AO166" s="131">
        <f>IF(OR(ISBLANK(M166),ISBLANK(AG166)),1,IF(AG166-M166&gt;-0.5,1,0))</f>
        <v>1</v>
      </c>
    </row>
    <row r="167" spans="2:41" ht="15" customHeight="1" x14ac:dyDescent="0.3">
      <c r="E167" s="45"/>
      <c r="F167" s="45"/>
      <c r="G167" s="190">
        <f>Tables!$C$18</f>
        <v>6.17</v>
      </c>
      <c r="H167" s="190"/>
      <c r="K167" s="2" t="str">
        <f>Tables!$A$18</f>
        <v>(10-yr)</v>
      </c>
      <c r="L167" s="2"/>
      <c r="M167" s="201"/>
      <c r="N167" s="201"/>
      <c r="O167" s="201"/>
      <c r="P167" s="6"/>
      <c r="Q167" s="191"/>
      <c r="R167" s="191"/>
      <c r="S167" s="191"/>
      <c r="U167" s="191"/>
      <c r="V167" s="191"/>
      <c r="W167" s="191"/>
      <c r="Y167" s="191"/>
      <c r="Z167" s="191"/>
      <c r="AA167" s="191"/>
      <c r="AC167" s="191"/>
      <c r="AD167" s="191"/>
      <c r="AE167" s="191"/>
      <c r="AG167" s="191"/>
      <c r="AH167" s="191"/>
      <c r="AI167" s="191"/>
      <c r="AL167" s="128">
        <f t="shared" si="11"/>
        <v>1</v>
      </c>
      <c r="AM167" s="128">
        <f t="shared" si="9"/>
        <v>1</v>
      </c>
      <c r="AN167" s="128">
        <f t="shared" si="10"/>
        <v>1</v>
      </c>
      <c r="AO167" s="131">
        <f t="shared" ref="AO167:AO170" si="12">IF(OR(ISBLANK(M167),ISBLANK(AG167)),1,IF(AG167-M167&gt;-0.5,1,0))</f>
        <v>1</v>
      </c>
    </row>
    <row r="168" spans="2:41" ht="15" customHeight="1" x14ac:dyDescent="0.3">
      <c r="E168" s="45"/>
      <c r="F168" s="45"/>
      <c r="G168" s="190">
        <f>Tables!$C$19</f>
        <v>7.55</v>
      </c>
      <c r="H168" s="190"/>
      <c r="K168" s="2" t="str">
        <f>Tables!$A$19</f>
        <v>(25-yr)</v>
      </c>
      <c r="L168" s="2"/>
      <c r="M168" s="201"/>
      <c r="N168" s="201"/>
      <c r="O168" s="201"/>
      <c r="P168" s="6"/>
      <c r="Q168" s="191"/>
      <c r="R168" s="191"/>
      <c r="S168" s="191"/>
      <c r="U168" s="191"/>
      <c r="V168" s="191"/>
      <c r="W168" s="191"/>
      <c r="Y168" s="191"/>
      <c r="Z168" s="191"/>
      <c r="AA168" s="191"/>
      <c r="AC168" s="191"/>
      <c r="AD168" s="191"/>
      <c r="AE168" s="191"/>
      <c r="AG168" s="191"/>
      <c r="AH168" s="191"/>
      <c r="AI168" s="191"/>
      <c r="AL168" s="128">
        <f t="shared" si="11"/>
        <v>1</v>
      </c>
      <c r="AM168" s="128">
        <f t="shared" si="9"/>
        <v>1</v>
      </c>
      <c r="AN168" s="128">
        <f t="shared" si="10"/>
        <v>1</v>
      </c>
      <c r="AO168" s="131">
        <f t="shared" si="12"/>
        <v>1</v>
      </c>
    </row>
    <row r="169" spans="2:41" ht="15" customHeight="1" x14ac:dyDescent="0.3">
      <c r="E169" s="45"/>
      <c r="F169" s="45"/>
      <c r="G169" s="190">
        <f>Tables!$C$20</f>
        <v>8.6999999999999993</v>
      </c>
      <c r="H169" s="190"/>
      <c r="K169" s="2" t="str">
        <f>Tables!$A$20</f>
        <v>(50-yr)</v>
      </c>
      <c r="L169" s="2"/>
      <c r="M169" s="201"/>
      <c r="N169" s="201"/>
      <c r="O169" s="201"/>
      <c r="P169" s="6"/>
      <c r="Q169" s="191"/>
      <c r="R169" s="191"/>
      <c r="S169" s="191"/>
      <c r="U169" s="191"/>
      <c r="V169" s="191"/>
      <c r="W169" s="191"/>
      <c r="Y169" s="191"/>
      <c r="Z169" s="191"/>
      <c r="AA169" s="191"/>
      <c r="AC169" s="191"/>
      <c r="AD169" s="191"/>
      <c r="AE169" s="191"/>
      <c r="AG169" s="191"/>
      <c r="AH169" s="191"/>
      <c r="AI169" s="191"/>
      <c r="AL169" s="128">
        <f t="shared" si="11"/>
        <v>1</v>
      </c>
      <c r="AM169" s="128">
        <f t="shared" si="9"/>
        <v>1</v>
      </c>
      <c r="AN169" s="128">
        <f t="shared" si="10"/>
        <v>1</v>
      </c>
      <c r="AO169" s="131">
        <f t="shared" si="12"/>
        <v>1</v>
      </c>
    </row>
    <row r="170" spans="2:41" ht="15" customHeight="1" x14ac:dyDescent="0.3">
      <c r="E170" s="45"/>
      <c r="F170" s="45"/>
      <c r="G170" s="190">
        <f>Tables!$C$21</f>
        <v>9.93</v>
      </c>
      <c r="H170" s="190"/>
      <c r="K170" s="2" t="str">
        <f>Tables!$A$21</f>
        <v>(100-yr)</v>
      </c>
      <c r="L170" s="2"/>
      <c r="M170" s="201"/>
      <c r="N170" s="201"/>
      <c r="O170" s="201"/>
      <c r="P170" s="6"/>
      <c r="Q170" s="191"/>
      <c r="R170" s="191"/>
      <c r="S170" s="191"/>
      <c r="U170" s="191"/>
      <c r="V170" s="191"/>
      <c r="W170" s="191"/>
      <c r="Y170" s="191"/>
      <c r="Z170" s="191"/>
      <c r="AA170" s="191"/>
      <c r="AC170" s="191"/>
      <c r="AD170" s="191"/>
      <c r="AE170" s="191"/>
      <c r="AG170" s="191"/>
      <c r="AH170" s="191"/>
      <c r="AI170" s="191"/>
      <c r="AL170" s="133">
        <f>AF142-Y170</f>
        <v>0</v>
      </c>
      <c r="AM170" s="128">
        <f t="shared" si="9"/>
        <v>1</v>
      </c>
      <c r="AN170" s="128">
        <f t="shared" si="10"/>
        <v>1</v>
      </c>
      <c r="AO170" s="131">
        <f t="shared" si="12"/>
        <v>1</v>
      </c>
    </row>
    <row r="171" spans="2:41" ht="15" customHeight="1" x14ac:dyDescent="0.3">
      <c r="B171" s="5" t="s">
        <v>23</v>
      </c>
    </row>
    <row r="172" spans="2:41" ht="15" customHeight="1" x14ac:dyDescent="0.3">
      <c r="B172" s="192"/>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4"/>
      <c r="AL172" s="91" t="s">
        <v>381</v>
      </c>
      <c r="AM172" s="133">
        <f>Tables!C26</f>
        <v>6</v>
      </c>
    </row>
    <row r="173" spans="2:41" ht="15" customHeight="1" x14ac:dyDescent="0.3">
      <c r="B173" s="195"/>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7"/>
    </row>
    <row r="174" spans="2:41" ht="15" customHeight="1" x14ac:dyDescent="0.3">
      <c r="B174" s="195"/>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7"/>
    </row>
    <row r="175" spans="2:41" ht="15" customHeight="1" x14ac:dyDescent="0.3">
      <c r="B175" s="195"/>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7"/>
    </row>
    <row r="176" spans="2:41" ht="15" customHeight="1" x14ac:dyDescent="0.3">
      <c r="B176" s="198"/>
      <c r="C176" s="199"/>
      <c r="D176" s="199"/>
      <c r="E176" s="199"/>
      <c r="F176" s="199"/>
      <c r="G176" s="199"/>
      <c r="H176" s="199"/>
      <c r="I176" s="199"/>
      <c r="J176" s="199"/>
      <c r="K176" s="199"/>
      <c r="L176" s="199"/>
      <c r="M176" s="199"/>
      <c r="N176" s="199"/>
      <c r="O176" s="199"/>
      <c r="P176" s="199"/>
      <c r="Q176" s="199"/>
      <c r="R176" s="199"/>
      <c r="S176" s="199"/>
      <c r="T176" s="199"/>
      <c r="U176" s="199"/>
      <c r="V176" s="199"/>
      <c r="W176" s="199"/>
      <c r="X176" s="199"/>
      <c r="Y176" s="199"/>
      <c r="Z176" s="199"/>
      <c r="AA176" s="199"/>
      <c r="AB176" s="199"/>
      <c r="AC176" s="199"/>
      <c r="AD176" s="199"/>
      <c r="AE176" s="199"/>
      <c r="AF176" s="199"/>
      <c r="AG176" s="199"/>
      <c r="AH176" s="199"/>
      <c r="AI176" s="199"/>
      <c r="AJ176" s="200"/>
    </row>
    <row r="177" spans="2:76" ht="15" customHeight="1" x14ac:dyDescent="0.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spans="2:76" ht="15" customHeight="1" x14ac:dyDescent="0.3">
      <c r="B178" s="4"/>
      <c r="C178" s="77"/>
      <c r="D178" s="40" t="s">
        <v>130</v>
      </c>
      <c r="F178" s="77"/>
      <c r="G178" s="40" t="s">
        <v>131</v>
      </c>
      <c r="I178" s="40" t="s">
        <v>525</v>
      </c>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128">
        <f>IF(AND(ISBLANK(C178),ISBLANK(F178)),1,2)</f>
        <v>1</v>
      </c>
      <c r="AM178" s="128">
        <f>IF(ISBLANK(F178),1,2)</f>
        <v>1</v>
      </c>
    </row>
    <row r="179" spans="2:76" ht="4.95" customHeight="1" x14ac:dyDescent="0.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2:76" ht="15" customHeight="1" x14ac:dyDescent="0.3">
      <c r="B180" s="4"/>
      <c r="C180" s="77"/>
      <c r="D180" s="40" t="s">
        <v>130</v>
      </c>
      <c r="F180" s="77"/>
      <c r="G180" s="40" t="s">
        <v>131</v>
      </c>
      <c r="I180" s="40" t="s">
        <v>526</v>
      </c>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128">
        <f>IF(AND(ISBLANK(C180),ISBLANK(F180)),1,2)</f>
        <v>1</v>
      </c>
      <c r="AM180" s="128">
        <f>IF(ISBLANK(C180),1,2)</f>
        <v>1</v>
      </c>
    </row>
    <row r="181" spans="2:76" ht="4.95" customHeight="1" x14ac:dyDescent="0.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2:76" ht="15" customHeight="1" x14ac:dyDescent="0.3">
      <c r="B182" s="4"/>
      <c r="C182" s="77"/>
      <c r="D182" s="40" t="s">
        <v>130</v>
      </c>
      <c r="F182" s="77"/>
      <c r="G182" s="40" t="s">
        <v>131</v>
      </c>
      <c r="H182" s="4"/>
      <c r="I182" s="40" t="s">
        <v>527</v>
      </c>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128">
        <f>IF(ISBLANK(C182),1,2)</f>
        <v>1</v>
      </c>
      <c r="AM182" s="128">
        <f>IF(ISBLANK(F182),1,2)</f>
        <v>1</v>
      </c>
      <c r="AN182" s="128">
        <f>SUM(AL182:AM182)</f>
        <v>2</v>
      </c>
    </row>
    <row r="183" spans="2:76" ht="15" customHeight="1" x14ac:dyDescent="0.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spans="2:76" ht="15" customHeight="1" x14ac:dyDescent="0.3">
      <c r="B184" s="1" t="s">
        <v>19</v>
      </c>
      <c r="C184" s="1"/>
      <c r="D184" s="1"/>
      <c r="E184" s="1"/>
      <c r="F184" s="1"/>
      <c r="G184" s="1"/>
      <c r="H184" s="1"/>
      <c r="I184" s="1"/>
    </row>
    <row r="185" spans="2:76" ht="15" customHeight="1" x14ac:dyDescent="0.3">
      <c r="B185" s="108" t="s">
        <v>326</v>
      </c>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row>
    <row r="186" spans="2:76" ht="15" customHeight="1" x14ac:dyDescent="0.3">
      <c r="B186" s="74"/>
      <c r="C186" s="41" t="s">
        <v>116</v>
      </c>
      <c r="D186" s="108" t="str">
        <f>"Is designed in accordance with the latest version of the "&amp;Tables!C23&amp;"'s requirements;"</f>
        <v>Is designed in accordance with the latest version of the City's requirements;</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BX186" s="74"/>
    </row>
    <row r="187" spans="2:76" ht="15" customHeight="1" x14ac:dyDescent="0.3">
      <c r="B187" s="74"/>
      <c r="C187" s="41" t="s">
        <v>116</v>
      </c>
      <c r="D187" s="108" t="s">
        <v>324</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BX187" s="74"/>
    </row>
    <row r="188" spans="2:76" ht="15" customHeight="1" x14ac:dyDescent="0.3">
      <c r="B188" s="74"/>
      <c r="C188" s="41" t="s">
        <v>116</v>
      </c>
      <c r="D188" s="108" t="s">
        <v>387</v>
      </c>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BX188" s="74"/>
    </row>
    <row r="189" spans="2:76" ht="15" customHeight="1" x14ac:dyDescent="0.3">
      <c r="B189" s="74"/>
      <c r="C189" s="41"/>
      <c r="D189" s="108" t="s">
        <v>347</v>
      </c>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BX189" s="74"/>
    </row>
    <row r="190" spans="2:76" ht="15" customHeight="1" x14ac:dyDescent="0.3">
      <c r="B190" s="74"/>
      <c r="C190" s="41" t="s">
        <v>116</v>
      </c>
      <c r="D190" s="108" t="s">
        <v>348</v>
      </c>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BX190" s="74"/>
    </row>
    <row r="191" spans="2:76" ht="15" customHeight="1" x14ac:dyDescent="0.3">
      <c r="B191" s="74"/>
      <c r="C191" s="41"/>
      <c r="D191" s="108" t="s">
        <v>349</v>
      </c>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BX191" s="74"/>
    </row>
    <row r="192" spans="2:76" ht="15" customHeight="1" x14ac:dyDescent="0.3">
      <c r="B192" s="74"/>
      <c r="C192" s="41" t="s">
        <v>116</v>
      </c>
      <c r="D192" s="108" t="s">
        <v>325</v>
      </c>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BX192" s="74"/>
    </row>
    <row r="193" spans="2:76" ht="15" customHeight="1" x14ac:dyDescent="0.3">
      <c r="B193" s="74"/>
      <c r="C193" s="41"/>
      <c r="D193" s="108"/>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BX193" s="74"/>
    </row>
    <row r="194" spans="2:76" ht="15" customHeight="1" x14ac:dyDescent="0.3">
      <c r="B194" s="74"/>
      <c r="C194" s="41"/>
      <c r="D194" s="108"/>
      <c r="E194" s="2" t="s">
        <v>206</v>
      </c>
      <c r="F194" s="205"/>
      <c r="G194" s="205"/>
      <c r="H194" s="205"/>
      <c r="I194" s="205"/>
      <c r="J194" s="205"/>
      <c r="K194" s="205"/>
      <c r="L194" s="205"/>
      <c r="M194" s="205"/>
      <c r="N194" s="205"/>
      <c r="O194" s="205"/>
      <c r="P194" s="205"/>
      <c r="Q194" s="205"/>
      <c r="R194" s="205"/>
      <c r="S194" s="205"/>
      <c r="T194" s="205"/>
      <c r="U194" s="205"/>
      <c r="V194" s="205"/>
      <c r="W194" s="205"/>
      <c r="X194" s="205"/>
      <c r="Y194" s="205"/>
      <c r="Z194" s="205"/>
      <c r="AC194" s="2" t="s">
        <v>433</v>
      </c>
      <c r="AD194" s="2"/>
      <c r="AE194" s="2"/>
      <c r="AF194" s="2"/>
      <c r="AJ194" s="74"/>
      <c r="BX194" s="74"/>
    </row>
    <row r="195" spans="2:76" ht="15" customHeight="1" x14ac:dyDescent="0.3">
      <c r="E195" s="2" t="s">
        <v>146</v>
      </c>
      <c r="F195" s="207"/>
      <c r="G195" s="207"/>
      <c r="H195" s="207"/>
      <c r="I195" s="207"/>
      <c r="J195" s="207"/>
      <c r="K195" s="207"/>
      <c r="L195" s="207"/>
      <c r="M195" s="207"/>
      <c r="N195" s="207"/>
      <c r="O195" s="207"/>
      <c r="P195" s="207"/>
      <c r="Q195" s="207"/>
      <c r="R195" s="207"/>
      <c r="S195" s="207"/>
      <c r="T195" s="207"/>
      <c r="U195" s="207"/>
      <c r="V195" s="207"/>
      <c r="W195" s="207"/>
      <c r="X195" s="207"/>
      <c r="Y195" s="207"/>
      <c r="Z195" s="207"/>
      <c r="BX195" s="74"/>
    </row>
    <row r="196" spans="2:76" ht="15" customHeight="1" x14ac:dyDescent="0.3">
      <c r="E196" s="2" t="s">
        <v>147</v>
      </c>
      <c r="F196" s="207"/>
      <c r="G196" s="207"/>
      <c r="H196" s="207"/>
      <c r="I196" s="207"/>
      <c r="J196" s="207"/>
      <c r="K196" s="207"/>
      <c r="L196" s="207"/>
      <c r="M196" s="207"/>
      <c r="N196" s="207"/>
      <c r="O196" s="207"/>
      <c r="P196" s="207"/>
      <c r="Q196" s="207"/>
      <c r="R196" s="207"/>
      <c r="S196" s="207"/>
      <c r="T196" s="207"/>
      <c r="U196" s="207"/>
      <c r="V196" s="207"/>
      <c r="W196" s="207"/>
      <c r="X196" s="207"/>
      <c r="Y196" s="207"/>
      <c r="Z196" s="207"/>
      <c r="BX196" s="74"/>
    </row>
    <row r="197" spans="2:76" ht="15" customHeight="1" x14ac:dyDescent="0.3">
      <c r="E197" s="2" t="s">
        <v>431</v>
      </c>
      <c r="F197" s="207"/>
      <c r="G197" s="207"/>
      <c r="H197" s="207"/>
      <c r="I197" s="207"/>
      <c r="J197" s="207"/>
      <c r="K197" s="207"/>
      <c r="L197" s="207"/>
      <c r="M197" s="85"/>
      <c r="N197" s="85"/>
      <c r="O197" s="139" t="s">
        <v>150</v>
      </c>
      <c r="P197" s="207"/>
      <c r="Q197" s="207"/>
      <c r="R197" s="207"/>
      <c r="S197" s="207"/>
      <c r="T197" s="85"/>
      <c r="U197" s="85"/>
      <c r="V197" s="85"/>
      <c r="W197" s="139" t="s">
        <v>151</v>
      </c>
      <c r="X197" s="209"/>
      <c r="Y197" s="209"/>
      <c r="Z197" s="209"/>
    </row>
    <row r="198" spans="2:76" ht="15" customHeight="1" x14ac:dyDescent="0.3">
      <c r="E198" s="2" t="s">
        <v>148</v>
      </c>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spans="2:76" ht="15" customHeight="1" x14ac:dyDescent="0.3">
      <c r="E199" s="2" t="s">
        <v>152</v>
      </c>
      <c r="F199" s="186"/>
      <c r="G199" s="186"/>
      <c r="H199" s="186"/>
      <c r="I199" s="186"/>
      <c r="J199" s="186"/>
      <c r="V199" s="74"/>
      <c r="W199" s="74"/>
      <c r="X199" s="74"/>
    </row>
    <row r="200" spans="2:76" ht="15" customHeight="1" x14ac:dyDescent="0.3">
      <c r="E200" s="2"/>
      <c r="F200" s="85"/>
      <c r="G200" s="85"/>
      <c r="H200" s="85"/>
      <c r="I200" s="85"/>
      <c r="J200" s="85"/>
      <c r="V200" s="74"/>
      <c r="W200" s="74"/>
      <c r="X200" s="74"/>
    </row>
    <row r="201" spans="2:76" ht="15" customHeight="1" x14ac:dyDescent="0.3">
      <c r="E201" s="2" t="s">
        <v>207</v>
      </c>
      <c r="F201" s="111"/>
      <c r="G201" s="111"/>
      <c r="H201" s="111"/>
      <c r="I201" s="111"/>
      <c r="J201" s="111"/>
      <c r="K201" s="111"/>
      <c r="L201" s="111"/>
      <c r="M201" s="111"/>
      <c r="N201" s="111"/>
      <c r="O201" s="111"/>
      <c r="P201" s="111"/>
      <c r="Q201" s="111"/>
      <c r="R201" s="111"/>
      <c r="S201" s="111"/>
      <c r="T201" s="111"/>
      <c r="U201" s="111"/>
      <c r="V201" s="74"/>
      <c r="W201" s="74"/>
      <c r="X201" s="74"/>
      <c r="AC201" s="2" t="s">
        <v>192</v>
      </c>
      <c r="AD201" s="208"/>
      <c r="AE201" s="208"/>
      <c r="AF201" s="208"/>
      <c r="AG201" s="208"/>
      <c r="AH201" s="208"/>
    </row>
    <row r="202" spans="2:76" ht="15" customHeight="1" x14ac:dyDescent="0.3"/>
    <row r="203" spans="2:76" ht="15" customHeight="1" x14ac:dyDescent="0.3">
      <c r="AK203" s="45"/>
    </row>
    <row r="204" spans="2:76" ht="15" customHeight="1" x14ac:dyDescent="0.3">
      <c r="B204" s="216">
        <f>Tables!$C$13</f>
        <v>45383</v>
      </c>
      <c r="C204" s="216"/>
      <c r="D204" s="216"/>
      <c r="E204" s="216"/>
      <c r="F204" s="216"/>
      <c r="G204" s="216"/>
      <c r="H204" s="216"/>
      <c r="R204" s="184" t="s">
        <v>408</v>
      </c>
      <c r="S204" s="184"/>
      <c r="T204" s="184"/>
      <c r="U204" s="184"/>
      <c r="AK204" s="45"/>
    </row>
    <row r="205" spans="2:76" ht="15" customHeight="1" x14ac:dyDescent="0.3">
      <c r="C205" s="2" t="s">
        <v>1</v>
      </c>
      <c r="D205" s="187">
        <f>IF(ISBLANK($E$13),0,$E$13)</f>
        <v>0</v>
      </c>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51"/>
      <c r="AD205" s="2" t="s">
        <v>21</v>
      </c>
      <c r="AE205" s="188">
        <f>IF(ISBLANK($AE$13),0,$AE$13)</f>
        <v>0</v>
      </c>
      <c r="AF205" s="188"/>
      <c r="AG205" s="188"/>
      <c r="AH205" s="188"/>
      <c r="AI205" s="188"/>
      <c r="AJ205" s="188"/>
    </row>
    <row r="206" spans="2:76" ht="15" customHeight="1" x14ac:dyDescent="0.3">
      <c r="C206" s="52"/>
      <c r="D206" s="52"/>
      <c r="E206" s="52"/>
      <c r="F206" s="52"/>
      <c r="G206" s="52"/>
      <c r="H206" s="52"/>
      <c r="I206" s="52"/>
      <c r="J206" s="2"/>
      <c r="K206" s="2"/>
      <c r="L206" s="2"/>
      <c r="M206" s="2"/>
      <c r="N206" s="52"/>
      <c r="O206" s="51"/>
      <c r="P206" s="51"/>
      <c r="Q206" s="51"/>
      <c r="R206" s="51"/>
      <c r="S206" s="51"/>
      <c r="T206" s="51"/>
      <c r="U206" s="51"/>
      <c r="V206" s="51"/>
      <c r="W206" s="51"/>
      <c r="X206" s="51"/>
      <c r="Y206" s="51"/>
      <c r="Z206" s="51"/>
      <c r="AD206" s="2" t="s">
        <v>35</v>
      </c>
      <c r="AE206" s="189">
        <f>IF(ISBLANK($AE$14),0,$AE$14)</f>
        <v>0</v>
      </c>
      <c r="AF206" s="189"/>
      <c r="AG206" s="189"/>
      <c r="AH206" s="189"/>
      <c r="AI206" s="189"/>
      <c r="AJ206" s="189"/>
    </row>
    <row r="207" spans="2:76" ht="15" customHeight="1" x14ac:dyDescent="0.3"/>
    <row r="208" spans="2:76" ht="15" customHeight="1" x14ac:dyDescent="0.3">
      <c r="B208" s="56" t="s">
        <v>91</v>
      </c>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8"/>
      <c r="AL208" s="15" t="s">
        <v>373</v>
      </c>
    </row>
    <row r="209" spans="2:38" ht="15" customHeight="1" x14ac:dyDescent="0.3">
      <c r="B209" s="59"/>
      <c r="C209" s="8"/>
      <c r="D209" s="8"/>
      <c r="E209" s="8"/>
      <c r="F209" s="8"/>
      <c r="G209" s="8"/>
      <c r="H209" s="8"/>
      <c r="I209" s="8"/>
      <c r="J209" s="60" t="s">
        <v>92</v>
      </c>
      <c r="K209" s="60"/>
      <c r="L209" s="61" t="s">
        <v>222</v>
      </c>
      <c r="M209" s="60"/>
      <c r="N209" s="60"/>
      <c r="O209" s="60"/>
      <c r="P209" s="61"/>
      <c r="Q209" s="8"/>
      <c r="R209" s="8"/>
      <c r="S209" s="8"/>
      <c r="T209" s="8"/>
      <c r="U209" s="8"/>
      <c r="V209" s="8"/>
      <c r="W209" s="8"/>
      <c r="X209" s="8"/>
      <c r="Y209" s="8"/>
      <c r="Z209" s="8"/>
      <c r="AA209" s="8"/>
      <c r="AB209" s="8"/>
      <c r="AC209" s="8"/>
      <c r="AD209" s="8"/>
      <c r="AE209" s="8"/>
      <c r="AF209" s="8"/>
      <c r="AG209" s="8"/>
      <c r="AH209" s="8"/>
      <c r="AI209" s="8"/>
      <c r="AJ209" s="62"/>
      <c r="AL209" s="128">
        <f>SUM(AL210:AL251)</f>
        <v>11</v>
      </c>
    </row>
    <row r="210" spans="2:38" ht="15" customHeight="1" x14ac:dyDescent="0.3">
      <c r="B210" s="59"/>
      <c r="C210" s="8"/>
      <c r="D210" s="8"/>
      <c r="E210" s="8"/>
      <c r="F210" s="8"/>
      <c r="G210" s="8"/>
      <c r="H210" s="8"/>
      <c r="I210" s="8"/>
      <c r="J210" s="9" t="s">
        <v>93</v>
      </c>
      <c r="K210" s="9"/>
      <c r="L210" s="8" t="str">
        <f>IF(AND(AL34&lt;5,AM34=6),Tables!G2,IF(AND(AL34=5,AM34=6),"",Tables!G2))</f>
        <v>Pre Total not compeleted</v>
      </c>
      <c r="M210" s="9"/>
      <c r="N210" s="9"/>
      <c r="O210" s="9"/>
      <c r="P210" s="8"/>
      <c r="Q210" s="8"/>
      <c r="R210" s="8"/>
      <c r="S210" s="8"/>
      <c r="T210" s="8"/>
      <c r="U210" s="8"/>
      <c r="V210" s="8"/>
      <c r="W210" s="8"/>
      <c r="X210" s="8"/>
      <c r="Y210" s="8"/>
      <c r="Z210" s="8"/>
      <c r="AA210" s="8"/>
      <c r="AB210" s="8"/>
      <c r="AC210" s="8"/>
      <c r="AD210" s="8"/>
      <c r="AE210" s="8"/>
      <c r="AF210" s="8"/>
      <c r="AG210" s="8"/>
      <c r="AH210" s="8"/>
      <c r="AI210" s="8"/>
      <c r="AJ210" s="62"/>
      <c r="AL210" s="128">
        <f>IF(L210="",0,1)</f>
        <v>1</v>
      </c>
    </row>
    <row r="211" spans="2:38" ht="15" customHeight="1" x14ac:dyDescent="0.3">
      <c r="B211" s="59"/>
      <c r="C211" s="8"/>
      <c r="D211" s="8"/>
      <c r="E211" s="8"/>
      <c r="F211" s="8"/>
      <c r="G211" s="8"/>
      <c r="H211" s="8"/>
      <c r="I211" s="8"/>
      <c r="J211" s="9" t="s">
        <v>94</v>
      </c>
      <c r="K211" s="9"/>
      <c r="L211" s="8" t="str">
        <f>IF(AND(AL47&lt;5,AM47=6),Tables!G3,IF(AND(AL47=5,AM47=6),"",Tables!G3))</f>
        <v>Post Total not completed</v>
      </c>
      <c r="M211" s="9"/>
      <c r="N211" s="9"/>
      <c r="O211" s="9"/>
      <c r="P211" s="8"/>
      <c r="Q211" s="8"/>
      <c r="R211" s="8"/>
      <c r="S211" s="8"/>
      <c r="T211" s="8"/>
      <c r="U211" s="8"/>
      <c r="V211" s="8"/>
      <c r="W211" s="8"/>
      <c r="X211" s="8"/>
      <c r="Y211" s="8"/>
      <c r="Z211" s="8"/>
      <c r="AA211" s="8"/>
      <c r="AB211" s="8"/>
      <c r="AC211" s="8"/>
      <c r="AD211" s="8"/>
      <c r="AE211" s="8"/>
      <c r="AF211" s="8"/>
      <c r="AG211" s="8"/>
      <c r="AH211" s="8"/>
      <c r="AI211" s="8"/>
      <c r="AJ211" s="62"/>
      <c r="AL211" s="128">
        <f t="shared" ref="AL211:AL221" si="13">IF(L211="",0,1)</f>
        <v>1</v>
      </c>
    </row>
    <row r="212" spans="2:38" ht="15" customHeight="1" x14ac:dyDescent="0.3">
      <c r="B212" s="59"/>
      <c r="C212" s="8"/>
      <c r="D212" s="8"/>
      <c r="E212" s="8"/>
      <c r="F212" s="8"/>
      <c r="G212" s="8"/>
      <c r="H212" s="8"/>
      <c r="I212" s="8"/>
      <c r="J212" s="9"/>
      <c r="K212" s="9"/>
      <c r="L212" s="8" t="str">
        <f>IF(AND(AL55=1,AN55=1),Tables!G14,IF(OR(AM55=2,AO55=2),Tables!G14,""))</f>
        <v>Has mass grading and/or structural fill altered post-development soil conditions?</v>
      </c>
      <c r="M212" s="9"/>
      <c r="N212" s="9"/>
      <c r="O212" s="9"/>
      <c r="P212" s="8"/>
      <c r="Q212" s="8"/>
      <c r="R212" s="8"/>
      <c r="S212" s="8"/>
      <c r="T212" s="8"/>
      <c r="U212" s="8"/>
      <c r="V212" s="8"/>
      <c r="W212" s="8"/>
      <c r="X212" s="8"/>
      <c r="Y212" s="8"/>
      <c r="Z212" s="8"/>
      <c r="AA212" s="8"/>
      <c r="AB212" s="8"/>
      <c r="AC212" s="8"/>
      <c r="AD212" s="8"/>
      <c r="AE212" s="8"/>
      <c r="AF212" s="8"/>
      <c r="AG212" s="8"/>
      <c r="AH212" s="8"/>
      <c r="AI212" s="8"/>
      <c r="AJ212" s="62"/>
      <c r="AL212" s="128">
        <f t="shared" si="13"/>
        <v>1</v>
      </c>
    </row>
    <row r="213" spans="2:38" ht="15" customHeight="1" x14ac:dyDescent="0.3">
      <c r="B213" s="59"/>
      <c r="C213" s="8"/>
      <c r="D213" s="8"/>
      <c r="E213" s="8"/>
      <c r="F213" s="8"/>
      <c r="G213" s="8"/>
      <c r="H213" s="8"/>
      <c r="I213" s="8"/>
      <c r="J213" s="9" t="s">
        <v>95</v>
      </c>
      <c r="K213" s="9"/>
      <c r="L213" s="8" t="str">
        <f>IF(AND(ISBLANK(K139),ISBLANK(O139)),Tables!G4,IF(AO137=1,"",IF(AM139&lt;6,Tables!G4,"")))</f>
        <v>Emergency Spillway Section not completed</v>
      </c>
      <c r="M213" s="9"/>
      <c r="N213" s="9"/>
      <c r="O213" s="9"/>
      <c r="P213" s="8"/>
      <c r="Q213" s="8"/>
      <c r="R213" s="8"/>
      <c r="S213" s="8"/>
      <c r="T213" s="8"/>
      <c r="U213" s="8"/>
      <c r="V213" s="8"/>
      <c r="W213" s="8"/>
      <c r="X213" s="8"/>
      <c r="Y213" s="8"/>
      <c r="Z213" s="8"/>
      <c r="AA213" s="8"/>
      <c r="AB213" s="8"/>
      <c r="AC213" s="8"/>
      <c r="AD213" s="8"/>
      <c r="AE213" s="8"/>
      <c r="AF213" s="8"/>
      <c r="AG213" s="8"/>
      <c r="AH213" s="8"/>
      <c r="AI213" s="8"/>
      <c r="AJ213" s="62"/>
      <c r="AL213" s="128">
        <f t="shared" si="13"/>
        <v>1</v>
      </c>
    </row>
    <row r="214" spans="2:38" ht="15" customHeight="1" x14ac:dyDescent="0.3">
      <c r="B214" s="59"/>
      <c r="C214" s="8"/>
      <c r="D214" s="8"/>
      <c r="E214" s="8"/>
      <c r="F214" s="8"/>
      <c r="G214" s="8"/>
      <c r="H214" s="8"/>
      <c r="I214" s="8"/>
      <c r="J214" s="9" t="s">
        <v>383</v>
      </c>
      <c r="K214" s="9"/>
      <c r="L214" s="8" t="str">
        <f>IF(AND(ISBLANK(K139),ISBLANK(O139)),Tables!G13,IF(AL162=1,"",IF(AL170&lt;1,Tables!G13,"")))</f>
        <v>Freeboard  &lt;  1.0 ft</v>
      </c>
      <c r="M214" s="9"/>
      <c r="N214" s="9"/>
      <c r="O214" s="9"/>
      <c r="P214" s="8"/>
      <c r="Q214" s="8"/>
      <c r="R214" s="8"/>
      <c r="S214" s="8"/>
      <c r="T214" s="8"/>
      <c r="U214" s="8"/>
      <c r="V214" s="8"/>
      <c r="W214" s="8"/>
      <c r="X214" s="8"/>
      <c r="Y214" s="8"/>
      <c r="Z214" s="8"/>
      <c r="AA214" s="8"/>
      <c r="AB214" s="8"/>
      <c r="AC214" s="8"/>
      <c r="AD214" s="8"/>
      <c r="AE214" s="8"/>
      <c r="AF214" s="8"/>
      <c r="AG214" s="8"/>
      <c r="AH214" s="8"/>
      <c r="AI214" s="8"/>
      <c r="AJ214" s="62"/>
      <c r="AL214" s="128">
        <f t="shared" si="13"/>
        <v>1</v>
      </c>
    </row>
    <row r="215" spans="2:38" ht="15" customHeight="1" x14ac:dyDescent="0.3">
      <c r="B215" s="59"/>
      <c r="C215" s="8"/>
      <c r="D215" s="8"/>
      <c r="E215" s="8"/>
      <c r="F215" s="8"/>
      <c r="G215" s="8"/>
      <c r="H215" s="8"/>
      <c r="I215" s="8"/>
      <c r="J215" s="9" t="s">
        <v>117</v>
      </c>
      <c r="K215" s="9"/>
      <c r="L215" s="8" t="str">
        <f>IF(AO146&lt;2,Tables!G8,"")</f>
        <v>Latitude and/or Longitude not provided</v>
      </c>
      <c r="M215" s="9"/>
      <c r="N215" s="9"/>
      <c r="O215" s="9"/>
      <c r="P215" s="8"/>
      <c r="Q215" s="8"/>
      <c r="R215" s="8"/>
      <c r="S215" s="8"/>
      <c r="T215" s="8"/>
      <c r="U215" s="8"/>
      <c r="V215" s="8"/>
      <c r="W215" s="8"/>
      <c r="X215" s="8"/>
      <c r="Y215" s="8"/>
      <c r="Z215" s="8"/>
      <c r="AA215" s="8"/>
      <c r="AB215" s="8"/>
      <c r="AC215" s="8"/>
      <c r="AD215" s="8"/>
      <c r="AE215" s="8"/>
      <c r="AF215" s="8"/>
      <c r="AG215" s="8"/>
      <c r="AH215" s="8"/>
      <c r="AI215" s="8"/>
      <c r="AJ215" s="62"/>
      <c r="AL215" s="128">
        <f t="shared" si="13"/>
        <v>1</v>
      </c>
    </row>
    <row r="216" spans="2:38" ht="15" customHeight="1" x14ac:dyDescent="0.3">
      <c r="B216" s="59"/>
      <c r="C216" s="8"/>
      <c r="D216" s="8"/>
      <c r="E216" s="8"/>
      <c r="F216" s="8"/>
      <c r="G216" s="8"/>
      <c r="H216" s="8"/>
      <c r="I216" s="8"/>
      <c r="J216" s="9" t="s">
        <v>159</v>
      </c>
      <c r="K216" s="9"/>
      <c r="L216" s="8" t="str">
        <f>IF(AM159=2,Tables!G9,IF(AM158=1,"",Tables!G9))</f>
        <v>WQv Required &gt; WQv Provided</v>
      </c>
      <c r="M216" s="9"/>
      <c r="N216" s="9"/>
      <c r="O216" s="9"/>
      <c r="P216" s="8"/>
      <c r="Q216" s="8"/>
      <c r="R216" s="8"/>
      <c r="S216" s="8"/>
      <c r="T216" s="8"/>
      <c r="U216" s="8"/>
      <c r="V216" s="8"/>
      <c r="W216" s="8"/>
      <c r="X216" s="8"/>
      <c r="Y216" s="8"/>
      <c r="Z216" s="8"/>
      <c r="AA216" s="8"/>
      <c r="AB216" s="8"/>
      <c r="AC216" s="8"/>
      <c r="AD216" s="8"/>
      <c r="AE216" s="8"/>
      <c r="AF216" s="8"/>
      <c r="AG216" s="8"/>
      <c r="AH216" s="8"/>
      <c r="AI216" s="8"/>
      <c r="AJ216" s="62"/>
      <c r="AL216" s="128">
        <f t="shared" si="13"/>
        <v>1</v>
      </c>
    </row>
    <row r="217" spans="2:38" ht="15" customHeight="1" x14ac:dyDescent="0.3">
      <c r="B217" s="59"/>
      <c r="C217" s="8"/>
      <c r="D217" s="8"/>
      <c r="E217" s="8"/>
      <c r="F217" s="8"/>
      <c r="G217" s="8"/>
      <c r="H217" s="8"/>
      <c r="I217" s="8"/>
      <c r="J217" s="9" t="s">
        <v>96</v>
      </c>
      <c r="K217" s="9"/>
      <c r="L217" s="8"/>
      <c r="M217" s="9"/>
      <c r="N217" s="9"/>
      <c r="O217" s="9"/>
      <c r="P217" s="8"/>
      <c r="Q217" s="8"/>
      <c r="R217" s="8"/>
      <c r="S217" s="8"/>
      <c r="T217" s="8"/>
      <c r="U217" s="8"/>
      <c r="V217" s="8"/>
      <c r="W217" s="8"/>
      <c r="X217" s="8"/>
      <c r="Y217" s="8"/>
      <c r="Z217" s="8"/>
      <c r="AA217" s="8"/>
      <c r="AB217" s="8"/>
      <c r="AC217" s="8"/>
      <c r="AD217" s="8"/>
      <c r="AE217" s="8"/>
      <c r="AF217" s="8"/>
      <c r="AG217" s="8"/>
      <c r="AH217" s="8"/>
      <c r="AI217" s="8"/>
      <c r="AJ217" s="62"/>
      <c r="AL217" s="128">
        <f t="shared" si="13"/>
        <v>0</v>
      </c>
    </row>
    <row r="218" spans="2:38" ht="15" customHeight="1" x14ac:dyDescent="0.3">
      <c r="B218" s="59"/>
      <c r="C218" s="8"/>
      <c r="D218" s="8"/>
      <c r="E218" s="8"/>
      <c r="F218" s="8"/>
      <c r="G218" s="8"/>
      <c r="H218" s="8"/>
      <c r="I218" s="8"/>
      <c r="J218" s="9" t="s">
        <v>90</v>
      </c>
      <c r="K218" s="9"/>
      <c r="L218" s="8" t="str">
        <f>IF(AND(ISBLANK(K139),ISBLANK(O139)),Tables!G7,IF(AL162=1,"",IF(AL164&gt;0,Tables!G7,"")))</f>
        <v>Max Stage for 2, 5, 10, and/or 25-year storm  &gt; Emergency Spillway Crest Elevation</v>
      </c>
      <c r="M218" s="9"/>
      <c r="N218" s="9"/>
      <c r="O218" s="9"/>
      <c r="P218" s="8"/>
      <c r="Q218" s="8"/>
      <c r="R218" s="8"/>
      <c r="S218" s="8"/>
      <c r="T218" s="8"/>
      <c r="U218" s="8"/>
      <c r="V218" s="8"/>
      <c r="W218" s="8"/>
      <c r="X218" s="8"/>
      <c r="Y218" s="8"/>
      <c r="Z218" s="8"/>
      <c r="AA218" s="8"/>
      <c r="AB218" s="8"/>
      <c r="AC218" s="8"/>
      <c r="AD218" s="8"/>
      <c r="AE218" s="8"/>
      <c r="AF218" s="8"/>
      <c r="AG218" s="8"/>
      <c r="AH218" s="8"/>
      <c r="AI218" s="8"/>
      <c r="AJ218" s="62"/>
      <c r="AL218" s="128">
        <f t="shared" si="13"/>
        <v>1</v>
      </c>
    </row>
    <row r="219" spans="2:38" ht="15" customHeight="1" x14ac:dyDescent="0.3">
      <c r="B219" s="59"/>
      <c r="C219" s="8"/>
      <c r="D219" s="8"/>
      <c r="E219" s="8"/>
      <c r="F219" s="8"/>
      <c r="G219" s="8"/>
      <c r="H219" s="8"/>
      <c r="I219" s="8"/>
      <c r="J219" s="9" t="s">
        <v>298</v>
      </c>
      <c r="K219" s="9"/>
      <c r="L219" s="8" t="str">
        <f>IF(AM164&gt;0,Tables!G6,"")</f>
        <v>Velocity &gt; 6 ft/s</v>
      </c>
      <c r="M219" s="9"/>
      <c r="N219" s="9"/>
      <c r="O219" s="9"/>
      <c r="P219" s="8"/>
      <c r="Q219" s="8"/>
      <c r="R219" s="8"/>
      <c r="S219" s="8"/>
      <c r="T219" s="8"/>
      <c r="U219" s="8"/>
      <c r="V219" s="8"/>
      <c r="W219" s="8"/>
      <c r="X219" s="8"/>
      <c r="Y219" s="8"/>
      <c r="Z219" s="8"/>
      <c r="AA219" s="8"/>
      <c r="AB219" s="8"/>
      <c r="AC219" s="8"/>
      <c r="AD219" s="8"/>
      <c r="AE219" s="8"/>
      <c r="AF219" s="8"/>
      <c r="AG219" s="8"/>
      <c r="AH219" s="8"/>
      <c r="AI219" s="8"/>
      <c r="AJ219" s="62"/>
      <c r="AL219" s="128">
        <f t="shared" si="13"/>
        <v>1</v>
      </c>
    </row>
    <row r="220" spans="2:38" ht="15" customHeight="1" x14ac:dyDescent="0.3">
      <c r="B220" s="59"/>
      <c r="C220" s="8"/>
      <c r="D220" s="8"/>
      <c r="E220" s="8"/>
      <c r="F220" s="8"/>
      <c r="G220" s="8"/>
      <c r="H220" s="8"/>
      <c r="I220" s="8"/>
      <c r="J220" s="9" t="s">
        <v>97</v>
      </c>
      <c r="K220" s="9"/>
      <c r="L220" s="8" t="str">
        <f>IF(AN164&gt;0,Tables!G5,"")</f>
        <v>Total Post Q &gt; Pre Q</v>
      </c>
      <c r="M220" s="9"/>
      <c r="N220" s="9"/>
      <c r="O220" s="9"/>
      <c r="P220" s="8"/>
      <c r="Q220" s="8"/>
      <c r="R220" s="8"/>
      <c r="S220" s="8"/>
      <c r="T220" s="8"/>
      <c r="U220" s="8"/>
      <c r="V220" s="8"/>
      <c r="W220" s="8"/>
      <c r="X220" s="8"/>
      <c r="Y220" s="8"/>
      <c r="Z220" s="8"/>
      <c r="AA220" s="8"/>
      <c r="AB220" s="8"/>
      <c r="AC220" s="8"/>
      <c r="AD220" s="8"/>
      <c r="AE220" s="8"/>
      <c r="AF220" s="8"/>
      <c r="AG220" s="8"/>
      <c r="AH220" s="8"/>
      <c r="AI220" s="8"/>
      <c r="AJ220" s="62"/>
      <c r="AL220" s="128">
        <f t="shared" si="13"/>
        <v>1</v>
      </c>
    </row>
    <row r="221" spans="2:38" ht="15" customHeight="1" x14ac:dyDescent="0.3">
      <c r="B221" s="59"/>
      <c r="C221" s="8"/>
      <c r="D221" s="8"/>
      <c r="E221" s="8"/>
      <c r="F221" s="8"/>
      <c r="G221" s="8"/>
      <c r="H221" s="8"/>
      <c r="I221" s="8"/>
      <c r="J221" s="8"/>
      <c r="K221" s="8"/>
      <c r="L221" s="8" t="str">
        <f>IF(AO164&gt;0,Tables!G11,"")</f>
        <v>Total Post Q is &lt; -0.50 ft3/s of Pre Q</v>
      </c>
      <c r="M221" s="8"/>
      <c r="N221" s="8"/>
      <c r="O221" s="8"/>
      <c r="P221" s="8"/>
      <c r="Q221" s="8"/>
      <c r="R221" s="8"/>
      <c r="S221" s="8"/>
      <c r="T221" s="8"/>
      <c r="U221" s="8"/>
      <c r="V221" s="8"/>
      <c r="W221" s="8"/>
      <c r="X221" s="8"/>
      <c r="Y221" s="8"/>
      <c r="Z221" s="8"/>
      <c r="AA221" s="8"/>
      <c r="AB221" s="8"/>
      <c r="AC221" s="8"/>
      <c r="AD221" s="8"/>
      <c r="AE221" s="8"/>
      <c r="AF221" s="8"/>
      <c r="AG221" s="8"/>
      <c r="AH221" s="8"/>
      <c r="AI221" s="8"/>
      <c r="AJ221" s="62"/>
      <c r="AL221" s="128">
        <f t="shared" si="13"/>
        <v>1</v>
      </c>
    </row>
    <row r="222" spans="2:38" ht="15" customHeight="1" x14ac:dyDescent="0.3">
      <c r="B222" s="59"/>
      <c r="C222" s="8"/>
      <c r="D222" s="8"/>
      <c r="E222" s="8"/>
      <c r="F222" s="8"/>
      <c r="G222" s="8"/>
      <c r="H222" s="8"/>
      <c r="I222" s="8"/>
      <c r="J222" s="9" t="s">
        <v>528</v>
      </c>
      <c r="K222" s="8"/>
      <c r="L222" s="8" t="str">
        <f>IF(AND(AL178=1,AM178=1),Tables!G15,IF(AM178=2,Tables!G15,""))</f>
        <v>Underground detention system is not located on a separate / individual lot</v>
      </c>
      <c r="M222" s="8"/>
      <c r="N222" s="8"/>
      <c r="O222" s="8"/>
      <c r="P222" s="8"/>
      <c r="Q222" s="8"/>
      <c r="R222" s="8"/>
      <c r="S222" s="8"/>
      <c r="T222" s="8"/>
      <c r="U222" s="8"/>
      <c r="V222" s="8"/>
      <c r="W222" s="8"/>
      <c r="X222" s="8"/>
      <c r="Y222" s="8"/>
      <c r="Z222" s="8"/>
      <c r="AA222" s="8"/>
      <c r="AB222" s="8"/>
      <c r="AC222" s="8"/>
      <c r="AD222" s="8"/>
      <c r="AE222" s="8"/>
      <c r="AF222" s="8"/>
      <c r="AG222" s="8"/>
      <c r="AH222" s="8"/>
      <c r="AI222" s="8"/>
      <c r="AJ222" s="62"/>
      <c r="AL222" s="24"/>
    </row>
    <row r="223" spans="2:38" ht="15" customHeight="1" x14ac:dyDescent="0.3">
      <c r="B223" s="59"/>
      <c r="C223" s="8"/>
      <c r="D223" s="8"/>
      <c r="E223" s="8"/>
      <c r="F223" s="8"/>
      <c r="G223" s="8"/>
      <c r="H223" s="8"/>
      <c r="I223" s="8"/>
      <c r="J223" s="9" t="s">
        <v>529</v>
      </c>
      <c r="K223" s="8"/>
      <c r="L223" s="8" t="str">
        <f>IF(AND(AL180=1,AM180=1),Tables!G16,IF(AM180=2,Tables!G16,""))</f>
        <v>Part of a regional stormwater management stratgey - Attach Form 2A.2</v>
      </c>
      <c r="M223" s="8"/>
      <c r="N223" s="8"/>
      <c r="O223" s="8"/>
      <c r="P223" s="8"/>
      <c r="Q223" s="8"/>
      <c r="R223" s="8"/>
      <c r="S223" s="8"/>
      <c r="T223" s="8"/>
      <c r="U223" s="8"/>
      <c r="V223" s="8"/>
      <c r="W223" s="8"/>
      <c r="X223" s="8"/>
      <c r="Y223" s="8"/>
      <c r="Z223" s="8"/>
      <c r="AA223" s="8"/>
      <c r="AB223" s="8"/>
      <c r="AC223" s="8"/>
      <c r="AD223" s="8"/>
      <c r="AE223" s="8"/>
      <c r="AF223" s="8"/>
      <c r="AG223" s="8"/>
      <c r="AH223" s="8"/>
      <c r="AI223" s="8"/>
      <c r="AJ223" s="62"/>
      <c r="AL223" s="24"/>
    </row>
    <row r="224" spans="2:38" ht="15" customHeight="1" x14ac:dyDescent="0.3">
      <c r="B224" s="63"/>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6"/>
      <c r="AL224" s="24"/>
    </row>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spans="2:37" ht="15" customHeight="1" x14ac:dyDescent="0.3"/>
    <row r="242" spans="2:37" ht="15" customHeight="1" x14ac:dyDescent="0.3"/>
    <row r="243" spans="2:37" ht="15" customHeight="1" x14ac:dyDescent="0.3"/>
    <row r="244" spans="2:37" ht="15" customHeight="1" x14ac:dyDescent="0.3"/>
    <row r="245" spans="2:37" ht="15" customHeight="1" x14ac:dyDescent="0.3"/>
    <row r="246" spans="2:37" ht="15" customHeight="1" x14ac:dyDescent="0.3">
      <c r="AK246" s="45"/>
    </row>
    <row r="247" spans="2:37" ht="15" customHeight="1" x14ac:dyDescent="0.3">
      <c r="B247" s="216">
        <f>Tables!$C$13</f>
        <v>45383</v>
      </c>
      <c r="C247" s="216"/>
      <c r="D247" s="216"/>
      <c r="E247" s="216"/>
      <c r="F247" s="216"/>
      <c r="G247" s="216"/>
      <c r="H247" s="216"/>
      <c r="R247" s="184" t="s">
        <v>407</v>
      </c>
      <c r="S247" s="184"/>
      <c r="T247" s="184"/>
      <c r="U247" s="184"/>
      <c r="AK247" s="45"/>
    </row>
    <row r="248" spans="2:37" ht="15" customHeight="1" x14ac:dyDescent="0.3"/>
    <row r="249" spans="2:37" ht="15" customHeight="1" x14ac:dyDescent="0.3"/>
    <row r="250" spans="2:37" ht="15" customHeight="1" x14ac:dyDescent="0.3"/>
    <row r="251" spans="2:37" ht="15" customHeight="1" x14ac:dyDescent="0.3"/>
  </sheetData>
  <sheetProtection algorithmName="SHA-512" hashValue="R1johuqLnAJMXx85llvNkvUF5fWRhWc4q2cxWbyVFtJb4EyWzHW8rhxz4UJtRWvSObKwbZ74Gto/N+euILnMsA==" saltValue="dHxZhM5BtwxGwBl6eryDLg==" spinCount="100000" sheet="1" objects="1" scenarios="1" selectLockedCells="1"/>
  <mergeCells count="449">
    <mergeCell ref="B160:H160"/>
    <mergeCell ref="R160:U160"/>
    <mergeCell ref="D113:Y113"/>
    <mergeCell ref="F122:I122"/>
    <mergeCell ref="F123:I123"/>
    <mergeCell ref="F124:I124"/>
    <mergeCell ref="F125:I125"/>
    <mergeCell ref="F127:I127"/>
    <mergeCell ref="C149:E149"/>
    <mergeCell ref="C150:E150"/>
    <mergeCell ref="X149:Z149"/>
    <mergeCell ref="X150:Z150"/>
    <mergeCell ref="X152:Z152"/>
    <mergeCell ref="K137:M137"/>
    <mergeCell ref="C151:E151"/>
    <mergeCell ref="C152:E152"/>
    <mergeCell ref="F131:I131"/>
    <mergeCell ref="H157:J157"/>
    <mergeCell ref="C135:E135"/>
    <mergeCell ref="C136:E136"/>
    <mergeCell ref="C137:E137"/>
    <mergeCell ref="BB1:BW4"/>
    <mergeCell ref="R1:AK4"/>
    <mergeCell ref="Z128:AB128"/>
    <mergeCell ref="AE128:AG128"/>
    <mergeCell ref="AD201:AH201"/>
    <mergeCell ref="Q71:T71"/>
    <mergeCell ref="Q73:S73"/>
    <mergeCell ref="P81:T81"/>
    <mergeCell ref="P83:T83"/>
    <mergeCell ref="P133:R133"/>
    <mergeCell ref="P134:R134"/>
    <mergeCell ref="S150:U150"/>
    <mergeCell ref="X151:Z151"/>
    <mergeCell ref="AQ6:BE7"/>
    <mergeCell ref="Z71:AB71"/>
    <mergeCell ref="AC77:AJ77"/>
    <mergeCell ref="AG79:AI79"/>
    <mergeCell ref="S79:U79"/>
    <mergeCell ref="AE12:AJ12"/>
    <mergeCell ref="AE113:AJ113"/>
    <mergeCell ref="T101:V101"/>
    <mergeCell ref="Y101:AA101"/>
    <mergeCell ref="T105:V105"/>
    <mergeCell ref="Y105:AA105"/>
    <mergeCell ref="T109:V109"/>
    <mergeCell ref="Y109:AA109"/>
    <mergeCell ref="AE114:AJ114"/>
    <mergeCell ref="F130:I130"/>
    <mergeCell ref="F128:I128"/>
    <mergeCell ref="C131:E131"/>
    <mergeCell ref="C132:E132"/>
    <mergeCell ref="C133:E133"/>
    <mergeCell ref="C134:E134"/>
    <mergeCell ref="P125:R125"/>
    <mergeCell ref="K128:M128"/>
    <mergeCell ref="K130:M130"/>
    <mergeCell ref="K131:M131"/>
    <mergeCell ref="B112:H112"/>
    <mergeCell ref="R112:U112"/>
    <mergeCell ref="F132:I132"/>
    <mergeCell ref="F135:I135"/>
    <mergeCell ref="F136:I136"/>
    <mergeCell ref="F133:I133"/>
    <mergeCell ref="F134:I134"/>
    <mergeCell ref="B247:H247"/>
    <mergeCell ref="R247:U247"/>
    <mergeCell ref="F196:Z196"/>
    <mergeCell ref="F197:L197"/>
    <mergeCell ref="P197:S197"/>
    <mergeCell ref="X197:Z197"/>
    <mergeCell ref="F198:Z198"/>
    <mergeCell ref="C153:E153"/>
    <mergeCell ref="X156:Z156"/>
    <mergeCell ref="X157:Z157"/>
    <mergeCell ref="S153:U153"/>
    <mergeCell ref="S154:U154"/>
    <mergeCell ref="X153:Z153"/>
    <mergeCell ref="X154:Z154"/>
    <mergeCell ref="C155:E155"/>
    <mergeCell ref="C156:E156"/>
    <mergeCell ref="H158:J158"/>
    <mergeCell ref="B204:H204"/>
    <mergeCell ref="S151:U151"/>
    <mergeCell ref="R204:U204"/>
    <mergeCell ref="C154:E154"/>
    <mergeCell ref="C157:E157"/>
    <mergeCell ref="F194:Z194"/>
    <mergeCell ref="F195:Z195"/>
    <mergeCell ref="P132:R132"/>
    <mergeCell ref="H154:J154"/>
    <mergeCell ref="H155:J155"/>
    <mergeCell ref="H156:J156"/>
    <mergeCell ref="S155:U155"/>
    <mergeCell ref="S156:U156"/>
    <mergeCell ref="S157:U157"/>
    <mergeCell ref="X155:Z155"/>
    <mergeCell ref="U132:W132"/>
    <mergeCell ref="U133:W133"/>
    <mergeCell ref="U134:W134"/>
    <mergeCell ref="U135:W135"/>
    <mergeCell ref="P137:R137"/>
    <mergeCell ref="K132:M132"/>
    <mergeCell ref="K133:M133"/>
    <mergeCell ref="K134:M134"/>
    <mergeCell ref="K135:M135"/>
    <mergeCell ref="K136:M136"/>
    <mergeCell ref="U136:W136"/>
    <mergeCell ref="S149:U149"/>
    <mergeCell ref="O92:Q92"/>
    <mergeCell ref="S85:W85"/>
    <mergeCell ref="X85:AB85"/>
    <mergeCell ref="K98:M98"/>
    <mergeCell ref="U128:W128"/>
    <mergeCell ref="U130:W130"/>
    <mergeCell ref="U131:W131"/>
    <mergeCell ref="P128:R128"/>
    <mergeCell ref="P130:R130"/>
    <mergeCell ref="P131:R131"/>
    <mergeCell ref="P122:R122"/>
    <mergeCell ref="P124:R124"/>
    <mergeCell ref="N116:Q116"/>
    <mergeCell ref="K99:M99"/>
    <mergeCell ref="K103:M103"/>
    <mergeCell ref="Y107:AA107"/>
    <mergeCell ref="N117:Q117"/>
    <mergeCell ref="N119:Q119"/>
    <mergeCell ref="T117:V117"/>
    <mergeCell ref="T119:V119"/>
    <mergeCell ref="Y117:AA117"/>
    <mergeCell ref="K107:M107"/>
    <mergeCell ref="Y86:AA86"/>
    <mergeCell ref="Z79:AB79"/>
    <mergeCell ref="T33:V33"/>
    <mergeCell ref="T34:V34"/>
    <mergeCell ref="AF32:AH32"/>
    <mergeCell ref="AF45:AH45"/>
    <mergeCell ref="K79:O79"/>
    <mergeCell ref="B57:H57"/>
    <mergeCell ref="R57:U57"/>
    <mergeCell ref="AF64:AH64"/>
    <mergeCell ref="L66:N66"/>
    <mergeCell ref="J68:M68"/>
    <mergeCell ref="J69:M69"/>
    <mergeCell ref="S68:U68"/>
    <mergeCell ref="S69:U69"/>
    <mergeCell ref="Z68:AB68"/>
    <mergeCell ref="Z69:AB69"/>
    <mergeCell ref="AG68:AI68"/>
    <mergeCell ref="AG69:AI69"/>
    <mergeCell ref="AE58:AJ58"/>
    <mergeCell ref="AE59:AJ59"/>
    <mergeCell ref="D58:Y58"/>
    <mergeCell ref="P36:R36"/>
    <mergeCell ref="P37:R37"/>
    <mergeCell ref="P38:R38"/>
    <mergeCell ref="BX45:BX46"/>
    <mergeCell ref="AB39:AD39"/>
    <mergeCell ref="AB40:AD40"/>
    <mergeCell ref="AF36:AH36"/>
    <mergeCell ref="AF37:AH37"/>
    <mergeCell ref="AF38:AH38"/>
    <mergeCell ref="J27:M27"/>
    <mergeCell ref="W23:Z23"/>
    <mergeCell ref="W26:Z26"/>
    <mergeCell ref="W27:Z27"/>
    <mergeCell ref="L37:N37"/>
    <mergeCell ref="J26:M26"/>
    <mergeCell ref="P30:R30"/>
    <mergeCell ref="L30:N30"/>
    <mergeCell ref="T30:V30"/>
    <mergeCell ref="X30:Z30"/>
    <mergeCell ref="AB30:AD30"/>
    <mergeCell ref="L32:N32"/>
    <mergeCell ref="T39:V39"/>
    <mergeCell ref="AB38:AD38"/>
    <mergeCell ref="X36:Z36"/>
    <mergeCell ref="X37:Z37"/>
    <mergeCell ref="P32:R32"/>
    <mergeCell ref="P35:R35"/>
    <mergeCell ref="T31:V31"/>
    <mergeCell ref="X31:Z31"/>
    <mergeCell ref="AB31:AD31"/>
    <mergeCell ref="L36:N36"/>
    <mergeCell ref="L35:N35"/>
    <mergeCell ref="L34:N34"/>
    <mergeCell ref="AF34:AH34"/>
    <mergeCell ref="AF35:AH35"/>
    <mergeCell ref="L44:N44"/>
    <mergeCell ref="T32:V32"/>
    <mergeCell ref="AF31:AH31"/>
    <mergeCell ref="L31:N31"/>
    <mergeCell ref="P31:R31"/>
    <mergeCell ref="AF39:AH39"/>
    <mergeCell ref="AF40:AH40"/>
    <mergeCell ref="L33:N33"/>
    <mergeCell ref="L43:N43"/>
    <mergeCell ref="P43:R43"/>
    <mergeCell ref="T43:V43"/>
    <mergeCell ref="X43:Z43"/>
    <mergeCell ref="AB43:AD43"/>
    <mergeCell ref="P33:R33"/>
    <mergeCell ref="P34:R34"/>
    <mergeCell ref="AB44:AD44"/>
    <mergeCell ref="J20:M20"/>
    <mergeCell ref="E13:X13"/>
    <mergeCell ref="E14:X14"/>
    <mergeCell ref="AE13:AJ13"/>
    <mergeCell ref="AE14:AJ14"/>
    <mergeCell ref="J22:M22"/>
    <mergeCell ref="J23:M23"/>
    <mergeCell ref="J24:M24"/>
    <mergeCell ref="J25:M25"/>
    <mergeCell ref="AA21:AD21"/>
    <mergeCell ref="P39:R39"/>
    <mergeCell ref="AF33:AH33"/>
    <mergeCell ref="P40:R40"/>
    <mergeCell ref="L40:N40"/>
    <mergeCell ref="L39:N39"/>
    <mergeCell ref="L38:N38"/>
    <mergeCell ref="AB37:AD37"/>
    <mergeCell ref="L51:N51"/>
    <mergeCell ref="L50:N50"/>
    <mergeCell ref="L49:N49"/>
    <mergeCell ref="L48:N48"/>
    <mergeCell ref="L47:N47"/>
    <mergeCell ref="L46:N46"/>
    <mergeCell ref="L45:N45"/>
    <mergeCell ref="T48:V48"/>
    <mergeCell ref="T49:V49"/>
    <mergeCell ref="T50:V50"/>
    <mergeCell ref="T51:V51"/>
    <mergeCell ref="P45:R45"/>
    <mergeCell ref="P44:R44"/>
    <mergeCell ref="T44:V44"/>
    <mergeCell ref="X45:Z45"/>
    <mergeCell ref="P51:R51"/>
    <mergeCell ref="X44:Z44"/>
    <mergeCell ref="AB32:AD32"/>
    <mergeCell ref="AB33:AD33"/>
    <mergeCell ref="AB34:AD34"/>
    <mergeCell ref="AB35:AD35"/>
    <mergeCell ref="AB36:AD36"/>
    <mergeCell ref="T40:V40"/>
    <mergeCell ref="X32:Z32"/>
    <mergeCell ref="X33:Z33"/>
    <mergeCell ref="X34:Z34"/>
    <mergeCell ref="X35:Z35"/>
    <mergeCell ref="X38:Z38"/>
    <mergeCell ref="X39:Z39"/>
    <mergeCell ref="X40:Z40"/>
    <mergeCell ref="T35:V35"/>
    <mergeCell ref="T36:V36"/>
    <mergeCell ref="T37:V37"/>
    <mergeCell ref="T38:V38"/>
    <mergeCell ref="AF49:AH49"/>
    <mergeCell ref="AF53:AH53"/>
    <mergeCell ref="AF50:AH50"/>
    <mergeCell ref="AF51:AH51"/>
    <mergeCell ref="AF52:AH52"/>
    <mergeCell ref="AB52:AD52"/>
    <mergeCell ref="AB53:AD53"/>
    <mergeCell ref="AB49:AD49"/>
    <mergeCell ref="X46:Z46"/>
    <mergeCell ref="X47:Z47"/>
    <mergeCell ref="X48:Z48"/>
    <mergeCell ref="AB48:AD48"/>
    <mergeCell ref="X49:Z49"/>
    <mergeCell ref="AB50:AD50"/>
    <mergeCell ref="AB51:AD51"/>
    <mergeCell ref="AF46:AH46"/>
    <mergeCell ref="AF47:AH47"/>
    <mergeCell ref="AF48:AH48"/>
    <mergeCell ref="F35:G35"/>
    <mergeCell ref="F36:G36"/>
    <mergeCell ref="F37:G37"/>
    <mergeCell ref="F38:G38"/>
    <mergeCell ref="F39:G39"/>
    <mergeCell ref="F40:G40"/>
    <mergeCell ref="F48:G48"/>
    <mergeCell ref="F49:G49"/>
    <mergeCell ref="F50:G50"/>
    <mergeCell ref="F51:G51"/>
    <mergeCell ref="F52:G52"/>
    <mergeCell ref="F53:G53"/>
    <mergeCell ref="X51:Z51"/>
    <mergeCell ref="X52:Z52"/>
    <mergeCell ref="X53:Z53"/>
    <mergeCell ref="AB45:AD45"/>
    <mergeCell ref="AB46:AD46"/>
    <mergeCell ref="AB47:AD47"/>
    <mergeCell ref="P53:R53"/>
    <mergeCell ref="T45:V45"/>
    <mergeCell ref="T46:V46"/>
    <mergeCell ref="T52:V52"/>
    <mergeCell ref="T53:V53"/>
    <mergeCell ref="P46:R46"/>
    <mergeCell ref="P47:R47"/>
    <mergeCell ref="P48:R48"/>
    <mergeCell ref="P49:R49"/>
    <mergeCell ref="P50:R50"/>
    <mergeCell ref="P52:R52"/>
    <mergeCell ref="X50:Z50"/>
    <mergeCell ref="L52:N52"/>
    <mergeCell ref="L53:N53"/>
    <mergeCell ref="T47:V47"/>
    <mergeCell ref="AF142:AH142"/>
    <mergeCell ref="O144:R144"/>
    <mergeCell ref="W144:Z144"/>
    <mergeCell ref="P135:R135"/>
    <mergeCell ref="P136:R136"/>
    <mergeCell ref="C148:E148"/>
    <mergeCell ref="H148:J148"/>
    <mergeCell ref="S148:U148"/>
    <mergeCell ref="X148:Z148"/>
    <mergeCell ref="F141:I141"/>
    <mergeCell ref="F142:I142"/>
    <mergeCell ref="O141:Q141"/>
    <mergeCell ref="O142:Q142"/>
    <mergeCell ref="C147:E147"/>
    <mergeCell ref="M148:P148"/>
    <mergeCell ref="AC148:AF148"/>
    <mergeCell ref="U137:W137"/>
    <mergeCell ref="W142:Y142"/>
    <mergeCell ref="F137:I137"/>
    <mergeCell ref="H149:J149"/>
    <mergeCell ref="H150:J150"/>
    <mergeCell ref="H151:J151"/>
    <mergeCell ref="H152:J152"/>
    <mergeCell ref="H153:J153"/>
    <mergeCell ref="AC154:AF154"/>
    <mergeCell ref="AC155:AF155"/>
    <mergeCell ref="AC156:AF156"/>
    <mergeCell ref="AC157:AF157"/>
    <mergeCell ref="M149:P149"/>
    <mergeCell ref="M150:P150"/>
    <mergeCell ref="M151:P151"/>
    <mergeCell ref="M152:P152"/>
    <mergeCell ref="M153:P153"/>
    <mergeCell ref="M154:P154"/>
    <mergeCell ref="M155:P155"/>
    <mergeCell ref="M156:P156"/>
    <mergeCell ref="M157:P157"/>
    <mergeCell ref="AC153:AF153"/>
    <mergeCell ref="AC149:AF149"/>
    <mergeCell ref="AC150:AF150"/>
    <mergeCell ref="AC151:AF151"/>
    <mergeCell ref="AC152:AF152"/>
    <mergeCell ref="S152:U152"/>
    <mergeCell ref="AC158:AF158"/>
    <mergeCell ref="U164:W164"/>
    <mergeCell ref="U165:W165"/>
    <mergeCell ref="U166:W166"/>
    <mergeCell ref="U167:W167"/>
    <mergeCell ref="U168:W168"/>
    <mergeCell ref="M164:O164"/>
    <mergeCell ref="M165:O165"/>
    <mergeCell ref="M166:O166"/>
    <mergeCell ref="M167:O167"/>
    <mergeCell ref="M168:O168"/>
    <mergeCell ref="S158:U158"/>
    <mergeCell ref="AE161:AJ161"/>
    <mergeCell ref="AE162:AJ162"/>
    <mergeCell ref="D161:Y161"/>
    <mergeCell ref="AG164:AJ164"/>
    <mergeCell ref="AG165:AI165"/>
    <mergeCell ref="AG166:AI166"/>
    <mergeCell ref="AG167:AI167"/>
    <mergeCell ref="AG168:AI168"/>
    <mergeCell ref="Q164:S164"/>
    <mergeCell ref="G165:H165"/>
    <mergeCell ref="G166:H166"/>
    <mergeCell ref="G167:H167"/>
    <mergeCell ref="AC168:AE168"/>
    <mergeCell ref="AC169:AE169"/>
    <mergeCell ref="Q165:S165"/>
    <mergeCell ref="Q166:S166"/>
    <mergeCell ref="Q167:S167"/>
    <mergeCell ref="Q168:S168"/>
    <mergeCell ref="Q169:S169"/>
    <mergeCell ref="X164:AB164"/>
    <mergeCell ref="Y165:AA165"/>
    <mergeCell ref="Y166:AA166"/>
    <mergeCell ref="Y167:AA167"/>
    <mergeCell ref="Y168:AA168"/>
    <mergeCell ref="Y169:AA169"/>
    <mergeCell ref="D35:E40"/>
    <mergeCell ref="D48:E53"/>
    <mergeCell ref="F199:J199"/>
    <mergeCell ref="D205:Y205"/>
    <mergeCell ref="AE205:AJ205"/>
    <mergeCell ref="AE206:AJ206"/>
    <mergeCell ref="G168:H168"/>
    <mergeCell ref="G169:H169"/>
    <mergeCell ref="G170:H170"/>
    <mergeCell ref="U169:W169"/>
    <mergeCell ref="U170:W170"/>
    <mergeCell ref="B172:AJ176"/>
    <mergeCell ref="M169:O169"/>
    <mergeCell ref="M170:O170"/>
    <mergeCell ref="AG169:AI169"/>
    <mergeCell ref="AG170:AI170"/>
    <mergeCell ref="Q170:S170"/>
    <mergeCell ref="AC170:AE170"/>
    <mergeCell ref="Y170:AA170"/>
    <mergeCell ref="AC164:AE164"/>
    <mergeCell ref="AC165:AE165"/>
    <mergeCell ref="AC166:AE166"/>
    <mergeCell ref="AC167:AE167"/>
    <mergeCell ref="AD119:AF119"/>
    <mergeCell ref="Y87:AA87"/>
    <mergeCell ref="Y88:AA88"/>
    <mergeCell ref="Y89:AA89"/>
    <mergeCell ref="Y90:AA90"/>
    <mergeCell ref="S92:W92"/>
    <mergeCell ref="X92:AB92"/>
    <mergeCell ref="AD92:AF92"/>
    <mergeCell ref="Y99:AA99"/>
    <mergeCell ref="O86:Q86"/>
    <mergeCell ref="O87:Q87"/>
    <mergeCell ref="O88:Q88"/>
    <mergeCell ref="O89:Q89"/>
    <mergeCell ref="O90:Q90"/>
    <mergeCell ref="T86:V86"/>
    <mergeCell ref="T87:V87"/>
    <mergeCell ref="T88:V88"/>
    <mergeCell ref="T89:V89"/>
    <mergeCell ref="T90:V90"/>
    <mergeCell ref="AD107:AF107"/>
    <mergeCell ref="O93:Q93"/>
    <mergeCell ref="O94:Q94"/>
    <mergeCell ref="T94:V94"/>
    <mergeCell ref="T93:V93"/>
    <mergeCell ref="Y93:AA93"/>
    <mergeCell ref="Y94:AA94"/>
    <mergeCell ref="Y95:AA95"/>
    <mergeCell ref="Y96:AA96"/>
    <mergeCell ref="AD93:AF93"/>
    <mergeCell ref="AD94:AF94"/>
    <mergeCell ref="O99:Q99"/>
    <mergeCell ref="O103:Q103"/>
    <mergeCell ref="O107:Q107"/>
    <mergeCell ref="T99:V99"/>
    <mergeCell ref="T103:V103"/>
    <mergeCell ref="T107:V107"/>
    <mergeCell ref="AD99:AF99"/>
    <mergeCell ref="AD103:AF103"/>
    <mergeCell ref="Y103:AA103"/>
    <mergeCell ref="O97:Q97"/>
  </mergeCells>
  <phoneticPr fontId="24" type="noConversion"/>
  <conditionalFormatting sqref="B68 B75">
    <cfRule type="expression" dxfId="406" priority="1045">
      <formula>$AN$68=1</formula>
    </cfRule>
  </conditionalFormatting>
  <conditionalFormatting sqref="B172:AJ173">
    <cfRule type="expression" dxfId="405" priority="87">
      <formula>AL209&gt;0</formula>
    </cfRule>
  </conditionalFormatting>
  <conditionalFormatting sqref="B174:AJ176">
    <cfRule type="expression" dxfId="404" priority="1152">
      <formula>AL215&gt;0</formula>
    </cfRule>
  </conditionalFormatting>
  <conditionalFormatting sqref="C178 F178">
    <cfRule type="expression" dxfId="403" priority="47">
      <formula>$AL178=1</formula>
    </cfRule>
  </conditionalFormatting>
  <conditionalFormatting sqref="C180 F180">
    <cfRule type="expression" dxfId="402" priority="52">
      <formula>$AL180=1</formula>
    </cfRule>
  </conditionalFormatting>
  <conditionalFormatting sqref="C180">
    <cfRule type="expression" dxfId="401" priority="53">
      <formula>$AM180=2</formula>
    </cfRule>
  </conditionalFormatting>
  <conditionalFormatting sqref="C182 F182">
    <cfRule type="expression" dxfId="400" priority="51">
      <formula>$AM180=2</formula>
    </cfRule>
  </conditionalFormatting>
  <conditionalFormatting sqref="C131:E131">
    <cfRule type="expression" dxfId="399" priority="109">
      <formula>$AL$131=1</formula>
    </cfRule>
  </conditionalFormatting>
  <conditionalFormatting sqref="C148:E148">
    <cfRule type="expression" dxfId="398" priority="93">
      <formula>ISBLANK($C$148)</formula>
    </cfRule>
    <cfRule type="cellIs" priority="92" operator="greaterThan">
      <formula>0</formula>
    </cfRule>
  </conditionalFormatting>
  <conditionalFormatting sqref="D113 AE113:AE114">
    <cfRule type="cellIs" dxfId="397" priority="195" operator="equal">
      <formula>0</formula>
    </cfRule>
  </conditionalFormatting>
  <conditionalFormatting sqref="D205 AE205:AE206">
    <cfRule type="cellIs" dxfId="396" priority="114" operator="equal">
      <formula>0</formula>
    </cfRule>
  </conditionalFormatting>
  <conditionalFormatting sqref="E13:E14 AE13:AE14 AF32:AF40 AF45:AF53 F122 P122 F125 P125 F128 F130 J142 O144 W144 AC158 Q165:Q170">
    <cfRule type="expression" dxfId="395" priority="340">
      <formula>ISBLANK(E13)</formula>
    </cfRule>
  </conditionalFormatting>
  <conditionalFormatting sqref="F16 O16 X16">
    <cfRule type="expression" dxfId="394" priority="315">
      <formula>ISBLANK(F16)</formula>
    </cfRule>
  </conditionalFormatting>
  <conditionalFormatting sqref="F18 O18 X18">
    <cfRule type="expression" dxfId="393" priority="196">
      <formula>ISBLANK(F18)</formula>
    </cfRule>
  </conditionalFormatting>
  <conditionalFormatting sqref="F178">
    <cfRule type="expression" dxfId="392" priority="48">
      <formula>$AM178=2</formula>
    </cfRule>
  </conditionalFormatting>
  <conditionalFormatting sqref="F182 C182">
    <cfRule type="expression" priority="50" stopIfTrue="1">
      <formula>$AN182=3</formula>
    </cfRule>
  </conditionalFormatting>
  <conditionalFormatting sqref="F182">
    <cfRule type="expression" dxfId="391" priority="49" stopIfTrue="1">
      <formula>$AM182=2</formula>
    </cfRule>
  </conditionalFormatting>
  <conditionalFormatting sqref="F194:F195">
    <cfRule type="expression" dxfId="390" priority="73">
      <formula>ISBLANK(F194)</formula>
    </cfRule>
  </conditionalFormatting>
  <conditionalFormatting sqref="F197:F199">
    <cfRule type="expression" dxfId="389" priority="68">
      <formula>ISBLANK(F197)</formula>
    </cfRule>
  </conditionalFormatting>
  <conditionalFormatting sqref="F123:I123">
    <cfRule type="expression" priority="126" stopIfTrue="1">
      <formula>$AL$124=2</formula>
    </cfRule>
    <cfRule type="cellIs" priority="127" stopIfTrue="1" operator="greaterThan">
      <formula>0</formula>
    </cfRule>
    <cfRule type="expression" dxfId="388" priority="128">
      <formula>$AL$123=1</formula>
    </cfRule>
  </conditionalFormatting>
  <conditionalFormatting sqref="F124:I124 P124:R124">
    <cfRule type="expression" dxfId="387" priority="125">
      <formula>$AL$124</formula>
    </cfRule>
    <cfRule type="cellIs" priority="124" stopIfTrue="1" operator="greaterThan">
      <formula>0</formula>
    </cfRule>
    <cfRule type="expression" priority="123" stopIfTrue="1">
      <formula>$AL$123=2</formula>
    </cfRule>
  </conditionalFormatting>
  <conditionalFormatting sqref="F131:I137 K131:M131 U131:W131">
    <cfRule type="expression" dxfId="386" priority="107">
      <formula>$AL131=2</formula>
    </cfRule>
  </conditionalFormatting>
  <conditionalFormatting sqref="F131:I137">
    <cfRule type="cellIs" priority="106" stopIfTrue="1" operator="greaterThan">
      <formula>0</formula>
    </cfRule>
  </conditionalFormatting>
  <conditionalFormatting sqref="F141:I142 O141:Q142 W142:Y142 AF142:AH142">
    <cfRule type="expression" dxfId="385" priority="1148">
      <formula>$AO$137=2</formula>
    </cfRule>
    <cfRule type="cellIs" priority="118" stopIfTrue="1" operator="greaterThan">
      <formula>0</formula>
    </cfRule>
  </conditionalFormatting>
  <conditionalFormatting sqref="F196:Z196">
    <cfRule type="expression" dxfId="384" priority="71">
      <formula>ISBLANK(F196)</formula>
    </cfRule>
  </conditionalFormatting>
  <conditionalFormatting sqref="H81 K81">
    <cfRule type="expression" dxfId="383" priority="152">
      <formula>$AL$75=2</formula>
    </cfRule>
    <cfRule type="cellIs" priority="150" stopIfTrue="1" operator="greaterThan">
      <formula>0</formula>
    </cfRule>
    <cfRule type="expression" dxfId="382" priority="151" stopIfTrue="1">
      <formula>$AL$81=2</formula>
    </cfRule>
  </conditionalFormatting>
  <conditionalFormatting sqref="H83 K83">
    <cfRule type="expression" priority="148" stopIfTrue="1">
      <formula>$AL$83=2</formula>
    </cfRule>
    <cfRule type="expression" dxfId="381" priority="149">
      <formula>$AL$75=2</formula>
    </cfRule>
    <cfRule type="cellIs" priority="147" stopIfTrue="1" operator="greaterThan">
      <formula>0</formula>
    </cfRule>
  </conditionalFormatting>
  <conditionalFormatting sqref="H148 M148">
    <cfRule type="expression" dxfId="380" priority="269">
      <formula>$AL$148=2</formula>
    </cfRule>
    <cfRule type="cellIs" priority="207" operator="greaterThan">
      <formula>0</formula>
    </cfRule>
  </conditionalFormatting>
  <conditionalFormatting sqref="H149 K149 M149">
    <cfRule type="expression" dxfId="379" priority="267">
      <formula>$AL$149=2</formula>
    </cfRule>
  </conditionalFormatting>
  <conditionalFormatting sqref="H149:H157 K149:K157 M149:M157">
    <cfRule type="cellIs" priority="250" stopIfTrue="1" operator="greaterThan">
      <formula>0</formula>
    </cfRule>
  </conditionalFormatting>
  <conditionalFormatting sqref="H150 K150 M150">
    <cfRule type="expression" dxfId="378" priority="265">
      <formula>$AL$150=2</formula>
    </cfRule>
  </conditionalFormatting>
  <conditionalFormatting sqref="H151 K151 M151">
    <cfRule type="expression" dxfId="377" priority="263">
      <formula>$AL$151=2</formula>
    </cfRule>
  </conditionalFormatting>
  <conditionalFormatting sqref="H152 K152 M152">
    <cfRule type="expression" dxfId="376" priority="261">
      <formula>$AL$152=2</formula>
    </cfRule>
  </conditionalFormatting>
  <conditionalFormatting sqref="H153 K153 M153">
    <cfRule type="expression" dxfId="375" priority="259">
      <formula>$AL$153=2</formula>
    </cfRule>
  </conditionalFormatting>
  <conditionalFormatting sqref="H154 K154 M154">
    <cfRule type="expression" dxfId="374" priority="257">
      <formula>$AL$154=2</formula>
    </cfRule>
  </conditionalFormatting>
  <conditionalFormatting sqref="H155 K155 M155">
    <cfRule type="expression" dxfId="373" priority="255">
      <formula>$AL$155=2</formula>
    </cfRule>
  </conditionalFormatting>
  <conditionalFormatting sqref="H156 K156 M156">
    <cfRule type="expression" dxfId="372" priority="253">
      <formula>$AL$156=2</formula>
    </cfRule>
  </conditionalFormatting>
  <conditionalFormatting sqref="H157 K157 M157">
    <cfRule type="expression" dxfId="371" priority="251">
      <formula>$AL$157=2</formula>
    </cfRule>
  </conditionalFormatting>
  <conditionalFormatting sqref="H148:J148">
    <cfRule type="expression" priority="91" stopIfTrue="1">
      <formula>$AN$148=2</formula>
    </cfRule>
  </conditionalFormatting>
  <conditionalFormatting sqref="I117">
    <cfRule type="expression" priority="1563" stopIfTrue="1">
      <formula>$AM$117=2</formula>
    </cfRule>
    <cfRule type="expression" dxfId="370" priority="1564">
      <formula>$AL$75=2</formula>
    </cfRule>
    <cfRule type="cellIs" priority="1562" stopIfTrue="1" operator="greaterThan">
      <formula>0</formula>
    </cfRule>
  </conditionalFormatting>
  <conditionalFormatting sqref="I119">
    <cfRule type="expression" priority="1566" stopIfTrue="1">
      <formula>$AM$119=2</formula>
    </cfRule>
    <cfRule type="cellIs" priority="1565" stopIfTrue="1" operator="greaterThan">
      <formula>0</formula>
    </cfRule>
    <cfRule type="expression" dxfId="369" priority="1567">
      <formula>$AL$75=2</formula>
    </cfRule>
  </conditionalFormatting>
  <conditionalFormatting sqref="J20">
    <cfRule type="expression" dxfId="368" priority="333">
      <formula>ISBLANK(J20)</formula>
    </cfRule>
  </conditionalFormatting>
  <conditionalFormatting sqref="J22:J26">
    <cfRule type="expression" dxfId="367" priority="331">
      <formula>ISBLANK(J22)</formula>
    </cfRule>
  </conditionalFormatting>
  <conditionalFormatting sqref="J27 D58 AE58:AE59 H158 K158 D161 AE161:AE162">
    <cfRule type="cellIs" dxfId="366" priority="321" operator="equal">
      <formula>0</formula>
    </cfRule>
  </conditionalFormatting>
  <conditionalFormatting sqref="J62 P62">
    <cfRule type="expression" priority="193" stopIfTrue="1">
      <formula>$AL$62=2</formula>
    </cfRule>
    <cfRule type="expression" dxfId="365" priority="194">
      <formula>$AL$62=1</formula>
    </cfRule>
  </conditionalFormatting>
  <conditionalFormatting sqref="J64 M64 P64 S64">
    <cfRule type="expression" priority="191" stopIfTrue="1">
      <formula>$AL$64=2</formula>
    </cfRule>
    <cfRule type="expression" dxfId="364" priority="192">
      <formula>$AL$64=1</formula>
    </cfRule>
  </conditionalFormatting>
  <conditionalFormatting sqref="J71">
    <cfRule type="expression" dxfId="363" priority="176">
      <formula>$AL$68=2</formula>
    </cfRule>
    <cfRule type="cellIs" priority="175" stopIfTrue="1" operator="greaterThan">
      <formula>0</formula>
    </cfRule>
    <cfRule type="expression" priority="173" stopIfTrue="1">
      <formula>$AL$73=2</formula>
    </cfRule>
  </conditionalFormatting>
  <conditionalFormatting sqref="J68:M69 AG68:AI69">
    <cfRule type="expression" dxfId="362" priority="180">
      <formula>$AL$68=2</formula>
    </cfRule>
  </conditionalFormatting>
  <conditionalFormatting sqref="K55 N55">
    <cfRule type="expression" priority="58">
      <formula>$AL55=2</formula>
    </cfRule>
    <cfRule type="expression" dxfId="361" priority="59">
      <formula>$AL55=1</formula>
    </cfRule>
  </conditionalFormatting>
  <conditionalFormatting sqref="K55">
    <cfRule type="expression" dxfId="360" priority="55">
      <formula>$AM$55=2</formula>
    </cfRule>
  </conditionalFormatting>
  <conditionalFormatting sqref="K75 O75 Y77">
    <cfRule type="cellIs" priority="153" stopIfTrue="1" operator="greaterThan">
      <formula>0</formula>
    </cfRule>
    <cfRule type="expression" dxfId="359" priority="157">
      <formula>$AL$75=2</formula>
    </cfRule>
    <cfRule type="expression" priority="154" stopIfTrue="1">
      <formula>$AM$75=2</formula>
    </cfRule>
  </conditionalFormatting>
  <conditionalFormatting sqref="K79 S79 Z79 AG79:AI79 N117 T117 Y117">
    <cfRule type="expression" dxfId="358" priority="166">
      <formula>$AL$75=2</formula>
    </cfRule>
  </conditionalFormatting>
  <conditionalFormatting sqref="K79 S79 Z79 AG79:AI79">
    <cfRule type="cellIs" priority="165" stopIfTrue="1" operator="greaterThan">
      <formula>0</formula>
    </cfRule>
  </conditionalFormatting>
  <conditionalFormatting sqref="K101 N101">
    <cfRule type="expression" dxfId="357" priority="12">
      <formula>$AM99=2</formula>
    </cfRule>
    <cfRule type="expression" priority="11" stopIfTrue="1">
      <formula>$AL101=2</formula>
    </cfRule>
  </conditionalFormatting>
  <conditionalFormatting sqref="K105 N105">
    <cfRule type="expression" dxfId="356" priority="8">
      <formula>$AM103=2</formula>
    </cfRule>
    <cfRule type="expression" priority="7" stopIfTrue="1">
      <formula>$AL105=2</formula>
    </cfRule>
  </conditionalFormatting>
  <conditionalFormatting sqref="K109 N109">
    <cfRule type="expression" priority="3" stopIfTrue="1">
      <formula>$AL109=2</formula>
    </cfRule>
    <cfRule type="expression" dxfId="355" priority="4">
      <formula>$AM107=2</formula>
    </cfRule>
  </conditionalFormatting>
  <conditionalFormatting sqref="K128 N128 S128 U128 AE128">
    <cfRule type="cellIs" dxfId="354" priority="351" operator="greaterThan">
      <formula>0</formula>
    </cfRule>
    <cfRule type="expression" dxfId="353" priority="352">
      <formula>$AL$128=2</formula>
    </cfRule>
  </conditionalFormatting>
  <conditionalFormatting sqref="K130 U130">
    <cfRule type="cellIs" dxfId="352" priority="348" operator="greaterThan">
      <formula>0</formula>
    </cfRule>
    <cfRule type="expression" dxfId="351" priority="349">
      <formula>$AL$130=2</formula>
    </cfRule>
  </conditionalFormatting>
  <conditionalFormatting sqref="K139 O139">
    <cfRule type="expression" dxfId="350" priority="121">
      <formula>$AO$139=1</formula>
    </cfRule>
    <cfRule type="cellIs" priority="120" stopIfTrue="1" operator="greaterThan">
      <formula>0</formula>
    </cfRule>
  </conditionalFormatting>
  <conditionalFormatting sqref="K99:M99 K103:M103 K107:M107">
    <cfRule type="cellIs" priority="15" stopIfTrue="1" operator="greaterThan">
      <formula>0</formula>
    </cfRule>
    <cfRule type="expression" dxfId="349" priority="16">
      <formula>$AM99=2</formula>
    </cfRule>
  </conditionalFormatting>
  <conditionalFormatting sqref="K131:M137 U131:W137">
    <cfRule type="cellIs" priority="94" stopIfTrue="1" operator="greaterThan">
      <formula>0</formula>
    </cfRule>
  </conditionalFormatting>
  <conditionalFormatting sqref="K132:M132 U132:W132">
    <cfRule type="expression" dxfId="348" priority="105">
      <formula>$AL$132=2</formula>
    </cfRule>
  </conditionalFormatting>
  <conditionalFormatting sqref="K133:M133 U133:W133">
    <cfRule type="expression" dxfId="347" priority="103">
      <formula>$AL$133=2</formula>
    </cfRule>
  </conditionalFormatting>
  <conditionalFormatting sqref="K134:M134 U134:W134">
    <cfRule type="expression" dxfId="346" priority="101">
      <formula>$AL$134=2</formula>
    </cfRule>
  </conditionalFormatting>
  <conditionalFormatting sqref="K135:M135 U135:W135">
    <cfRule type="expression" dxfId="345" priority="99">
      <formula>$AL$135=2</formula>
    </cfRule>
  </conditionalFormatting>
  <conditionalFormatting sqref="K136:M136 U136:W136">
    <cfRule type="expression" dxfId="344" priority="97">
      <formula>$AL$136=2</formula>
    </cfRule>
  </conditionalFormatting>
  <conditionalFormatting sqref="K137:M137 U137:W137">
    <cfRule type="expression" dxfId="343" priority="95">
      <formula>$AL$137=2</formula>
    </cfRule>
  </conditionalFormatting>
  <conditionalFormatting sqref="L32:L40">
    <cfRule type="expression" dxfId="342" priority="314">
      <formula>$L$30=2</formula>
    </cfRule>
    <cfRule type="cellIs" dxfId="341" priority="225" stopIfTrue="1" operator="greaterThan">
      <formula>0</formula>
    </cfRule>
  </conditionalFormatting>
  <conditionalFormatting sqref="L45:L53">
    <cfRule type="cellIs" dxfId="340" priority="303" operator="greaterThan">
      <formula>0</formula>
    </cfRule>
    <cfRule type="expression" dxfId="339" priority="304">
      <formula>$L$43=2</formula>
    </cfRule>
  </conditionalFormatting>
  <conditionalFormatting sqref="L31:N31">
    <cfRule type="cellIs" priority="112" operator="greaterThan">
      <formula>0</formula>
    </cfRule>
    <cfRule type="expression" dxfId="338" priority="113">
      <formula>ISBLANK($L$31)</formula>
    </cfRule>
  </conditionalFormatting>
  <conditionalFormatting sqref="L44:N44">
    <cfRule type="cellIs" priority="110" operator="greaterThan">
      <formula>0</formula>
    </cfRule>
    <cfRule type="expression" dxfId="337" priority="111">
      <formula>ISBLANK($L$44)</formula>
    </cfRule>
  </conditionalFormatting>
  <conditionalFormatting sqref="M165:O170">
    <cfRule type="cellIs" dxfId="336" priority="89" operator="equal">
      <formula>0</formula>
    </cfRule>
  </conditionalFormatting>
  <conditionalFormatting sqref="M148:P148">
    <cfRule type="expression" priority="90" stopIfTrue="1">
      <formula>$AO$148=2</formula>
    </cfRule>
  </conditionalFormatting>
  <conditionalFormatting sqref="N117 T117 Y117 N119 T119 B172:AJ176">
    <cfRule type="cellIs" priority="86" stopIfTrue="1" operator="greaterThan">
      <formula>0</formula>
    </cfRule>
  </conditionalFormatting>
  <conditionalFormatting sqref="N117 T117 Y117">
    <cfRule type="expression" priority="141" stopIfTrue="1">
      <formula>$AL$117=2</formula>
    </cfRule>
  </conditionalFormatting>
  <conditionalFormatting sqref="N119 T119 AD119">
    <cfRule type="expression" priority="134" stopIfTrue="1">
      <formula>$AL$119=2</formula>
    </cfRule>
  </conditionalFormatting>
  <conditionalFormatting sqref="O86:O90 T86:T90 Y86:Y90 O93:O94 T93:T94 AD93:AD94 Y93:Y95">
    <cfRule type="expression" dxfId="335" priority="42">
      <formula>$AL$75=2</formula>
    </cfRule>
    <cfRule type="cellIs" priority="41" stopIfTrue="1" operator="greaterThan">
      <formula>0</formula>
    </cfRule>
  </conditionalFormatting>
  <conditionalFormatting sqref="O97">
    <cfRule type="cellIs" priority="17" stopIfTrue="1" operator="greaterThan">
      <formula>0</formula>
    </cfRule>
    <cfRule type="expression" dxfId="334" priority="18">
      <formula>$AL$75=2</formula>
    </cfRule>
  </conditionalFormatting>
  <conditionalFormatting sqref="O99:Q99 T99:V99 Y99:AA99 AD99:AF99 O103:Q103 T103:V103 Y103:AA103 AD103:AF103 O107:Q107 T107:V107 Y107:AA107 AD107:AF107">
    <cfRule type="cellIs" priority="13" stopIfTrue="1" operator="greaterThan">
      <formula>0</formula>
    </cfRule>
    <cfRule type="expression" dxfId="333" priority="14">
      <formula>$AN99=2</formula>
    </cfRule>
  </conditionalFormatting>
  <conditionalFormatting sqref="P29 S29 V29 Y29">
    <cfRule type="expression" dxfId="332" priority="63">
      <formula>$AL29=1</formula>
    </cfRule>
    <cfRule type="expression" priority="62" stopIfTrue="1">
      <formula>$AL29=2</formula>
    </cfRule>
  </conditionalFormatting>
  <conditionalFormatting sqref="P42 S42 V42 Y42">
    <cfRule type="expression" dxfId="331" priority="61">
      <formula>$AL42=1</formula>
    </cfRule>
    <cfRule type="expression" priority="60" stopIfTrue="1">
      <formula>$AL42=2</formula>
    </cfRule>
  </conditionalFormatting>
  <conditionalFormatting sqref="P45:P53">
    <cfRule type="expression" dxfId="330" priority="963">
      <formula>$P$43=2</formula>
    </cfRule>
    <cfRule type="cellIs" dxfId="329" priority="962" operator="greaterThan">
      <formula>0</formula>
    </cfRule>
  </conditionalFormatting>
  <conditionalFormatting sqref="P81">
    <cfRule type="cellIs" priority="145" stopIfTrue="1" operator="greaterThan">
      <formula>0</formula>
    </cfRule>
    <cfRule type="expression" dxfId="328" priority="146">
      <formula>$AM$81=2</formula>
    </cfRule>
  </conditionalFormatting>
  <conditionalFormatting sqref="P83">
    <cfRule type="expression" dxfId="327" priority="144">
      <formula>$AM$83=2</formula>
    </cfRule>
    <cfRule type="cellIs" priority="143" stopIfTrue="1" operator="greaterThan">
      <formula>0</formula>
    </cfRule>
  </conditionalFormatting>
  <conditionalFormatting sqref="P197">
    <cfRule type="expression" dxfId="326" priority="69">
      <formula>ISBLANK(P197)</formula>
    </cfRule>
  </conditionalFormatting>
  <conditionalFormatting sqref="P31:R40">
    <cfRule type="expression" dxfId="325" priority="211">
      <formula>$P$30=2</formula>
    </cfRule>
    <cfRule type="cellIs" priority="210" stopIfTrue="1" operator="greaterThan">
      <formula>0</formula>
    </cfRule>
  </conditionalFormatting>
  <conditionalFormatting sqref="Q71 Z71 Q73">
    <cfRule type="expression" dxfId="324" priority="1044">
      <formula>$AL$68=2</formula>
    </cfRule>
    <cfRule type="expression" priority="1042" stopIfTrue="1">
      <formula>$AM$71=2</formula>
    </cfRule>
    <cfRule type="cellIs" priority="1043" stopIfTrue="1" operator="greaterThan">
      <formula>0</formula>
    </cfRule>
  </conditionalFormatting>
  <conditionalFormatting sqref="S33:S34 S35:T40">
    <cfRule type="cellIs" dxfId="323" priority="221" operator="greaterThan">
      <formula>0</formula>
    </cfRule>
  </conditionalFormatting>
  <conditionalFormatting sqref="S33:S40">
    <cfRule type="expression" dxfId="322" priority="311">
      <formula>$R$30=2</formula>
    </cfRule>
  </conditionalFormatting>
  <conditionalFormatting sqref="S158">
    <cfRule type="expression" dxfId="321" priority="82">
      <formula>ISBLANK(S158)</formula>
    </cfRule>
    <cfRule type="cellIs" dxfId="320" priority="1035" operator="lessThan">
      <formula>$H158</formula>
    </cfRule>
  </conditionalFormatting>
  <conditionalFormatting sqref="S68:U69">
    <cfRule type="expression" dxfId="319" priority="172">
      <formula>$AL$68=2</formula>
    </cfRule>
    <cfRule type="cellIs" priority="171" stopIfTrue="1" operator="greaterThan">
      <formula>0</formula>
    </cfRule>
  </conditionalFormatting>
  <conditionalFormatting sqref="S69:U69">
    <cfRule type="expression" priority="167" stopIfTrue="1">
      <formula>$AM$69=2</formula>
    </cfRule>
  </conditionalFormatting>
  <conditionalFormatting sqref="S158:U158">
    <cfRule type="expression" dxfId="318" priority="1036">
      <formula>$AN$158=2</formula>
    </cfRule>
  </conditionalFormatting>
  <conditionalFormatting sqref="T32:T34">
    <cfRule type="cellIs" dxfId="317" priority="1028" operator="greaterThan">
      <formula>0</formula>
    </cfRule>
  </conditionalFormatting>
  <conditionalFormatting sqref="T32:T40">
    <cfRule type="expression" dxfId="316" priority="1029">
      <formula>$T$30=2</formula>
    </cfRule>
  </conditionalFormatting>
  <conditionalFormatting sqref="T45:T53">
    <cfRule type="expression" dxfId="315" priority="1007">
      <formula>$T$43=2</formula>
    </cfRule>
    <cfRule type="cellIs" dxfId="314" priority="1006" operator="greaterThan">
      <formula>0</formula>
    </cfRule>
  </conditionalFormatting>
  <conditionalFormatting sqref="T75">
    <cfRule type="cellIs" priority="79" stopIfTrue="1" operator="greaterThan">
      <formula>0</formula>
    </cfRule>
    <cfRule type="expression" dxfId="313" priority="81">
      <formula>$AL$75=2</formula>
    </cfRule>
    <cfRule type="expression" priority="80" stopIfTrue="1">
      <formula>$AM$75=2</formula>
    </cfRule>
  </conditionalFormatting>
  <conditionalFormatting sqref="T101:V101 Y101:AA101">
    <cfRule type="cellIs" priority="9" stopIfTrue="1" operator="greaterThan">
      <formula>0</formula>
    </cfRule>
    <cfRule type="expression" dxfId="312" priority="10">
      <formula>$AM101=2</formula>
    </cfRule>
  </conditionalFormatting>
  <conditionalFormatting sqref="T105:V105 Y105:AA105">
    <cfRule type="cellIs" priority="5" stopIfTrue="1" operator="greaterThan">
      <formula>0</formula>
    </cfRule>
    <cfRule type="expression" dxfId="311" priority="6">
      <formula>$AM105=2</formula>
    </cfRule>
  </conditionalFormatting>
  <conditionalFormatting sqref="T109:V109 Y109:AA109">
    <cfRule type="expression" dxfId="310" priority="2">
      <formula>$AM109=2</formula>
    </cfRule>
    <cfRule type="cellIs" priority="1" stopIfTrue="1" operator="greaterThan">
      <formula>0</formula>
    </cfRule>
  </conditionalFormatting>
  <conditionalFormatting sqref="U165:U170 Y165:Y170 AC165:AC170">
    <cfRule type="expression" dxfId="309" priority="116" stopIfTrue="1">
      <formula>ISBLANK(U165)</formula>
    </cfRule>
  </conditionalFormatting>
  <conditionalFormatting sqref="W23 W26:W27">
    <cfRule type="cellIs" dxfId="308" priority="320" operator="equal">
      <formula>0</formula>
    </cfRule>
  </conditionalFormatting>
  <conditionalFormatting sqref="W55 Z55">
    <cfRule type="expression" priority="56">
      <formula>$AN$55=2</formula>
    </cfRule>
    <cfRule type="expression" dxfId="307" priority="57">
      <formula>$AN$55=1</formula>
    </cfRule>
  </conditionalFormatting>
  <conditionalFormatting sqref="W55">
    <cfRule type="expression" dxfId="306" priority="54">
      <formula>$AO$55=2</formula>
    </cfRule>
  </conditionalFormatting>
  <conditionalFormatting sqref="W23:Z23 W26:Z27">
    <cfRule type="expression" priority="88" stopIfTrue="1">
      <formula>$AL$23=1</formula>
    </cfRule>
  </conditionalFormatting>
  <conditionalFormatting sqref="X32:X40">
    <cfRule type="expression" dxfId="305" priority="1031">
      <formula>$X$30=2</formula>
    </cfRule>
    <cfRule type="cellIs" dxfId="304" priority="1030" operator="greaterThan">
      <formula>0</formula>
    </cfRule>
  </conditionalFormatting>
  <conditionalFormatting sqref="X45:X53">
    <cfRule type="expression" dxfId="303" priority="1017">
      <formula>$X$43=2</formula>
    </cfRule>
    <cfRule type="cellIs" dxfId="302" priority="1016" operator="greaterThan">
      <formula>0</formula>
    </cfRule>
  </conditionalFormatting>
  <conditionalFormatting sqref="X148 AC148">
    <cfRule type="expression" dxfId="301" priority="249">
      <formula>$AM$148=2</formula>
    </cfRule>
  </conditionalFormatting>
  <conditionalFormatting sqref="X148:X149 AC148:AC149">
    <cfRule type="cellIs" priority="246" stopIfTrue="1" operator="greaterThan">
      <formula>0</formula>
    </cfRule>
  </conditionalFormatting>
  <conditionalFormatting sqref="X149 AC149">
    <cfRule type="expression" dxfId="300" priority="247">
      <formula>$AM$149=2</formula>
    </cfRule>
  </conditionalFormatting>
  <conditionalFormatting sqref="X150 AC150">
    <cfRule type="expression" dxfId="299" priority="245">
      <formula>$AM$150=2</formula>
    </cfRule>
    <cfRule type="cellIs" priority="244" stopIfTrue="1" operator="greaterThan">
      <formula>1</formula>
    </cfRule>
  </conditionalFormatting>
  <conditionalFormatting sqref="X151 AC151">
    <cfRule type="expression" dxfId="298" priority="243">
      <formula>$AM$151=2</formula>
    </cfRule>
  </conditionalFormatting>
  <conditionalFormatting sqref="X151:X156 AC151:AC156">
    <cfRule type="cellIs" priority="232" stopIfTrue="1" operator="greaterThan">
      <formula>0</formula>
    </cfRule>
  </conditionalFormatting>
  <conditionalFormatting sqref="X152 AC152">
    <cfRule type="expression" dxfId="297" priority="241">
      <formula>$AM$152=2</formula>
    </cfRule>
  </conditionalFormatting>
  <conditionalFormatting sqref="X153 AC153">
    <cfRule type="expression" dxfId="296" priority="239">
      <formula>$AM$153=2</formula>
    </cfRule>
  </conditionalFormatting>
  <conditionalFormatting sqref="X154 AC154">
    <cfRule type="expression" dxfId="295" priority="237">
      <formula>$AM$154=2</formula>
    </cfRule>
  </conditionalFormatting>
  <conditionalFormatting sqref="X155 AC155">
    <cfRule type="expression" dxfId="294" priority="235">
      <formula>$AM$155=2</formula>
    </cfRule>
  </conditionalFormatting>
  <conditionalFormatting sqref="X156 AC156">
    <cfRule type="expression" dxfId="293" priority="233">
      <formula>$AM$156=2</formula>
    </cfRule>
  </conditionalFormatting>
  <conditionalFormatting sqref="X157 AC157">
    <cfRule type="expression" dxfId="292" priority="231">
      <formula>$AM$157=2</formula>
    </cfRule>
    <cfRule type="cellIs" priority="230" stopIfTrue="1" operator="notEqual">
      <formula>0</formula>
    </cfRule>
  </conditionalFormatting>
  <conditionalFormatting sqref="X197">
    <cfRule type="expression" dxfId="291" priority="70">
      <formula>ISBLANK(X197)</formula>
    </cfRule>
  </conditionalFormatting>
  <conditionalFormatting sqref="Y75">
    <cfRule type="cellIs" priority="76" stopIfTrue="1" operator="greaterThan">
      <formula>0</formula>
    </cfRule>
    <cfRule type="expression" priority="77" stopIfTrue="1">
      <formula>$AM$75=2</formula>
    </cfRule>
    <cfRule type="expression" dxfId="290" priority="78">
      <formula>$AL$75=2</formula>
    </cfRule>
  </conditionalFormatting>
  <conditionalFormatting sqref="Y96">
    <cfRule type="expression" priority="129" stopIfTrue="1">
      <formula>$AL$75=1</formula>
    </cfRule>
    <cfRule type="cellIs" dxfId="289" priority="130" operator="equal">
      <formula>0</formula>
    </cfRule>
  </conditionalFormatting>
  <conditionalFormatting sqref="Y165:Y169">
    <cfRule type="cellIs" dxfId="288" priority="1032" operator="greaterThan">
      <formula>$W$142</formula>
    </cfRule>
  </conditionalFormatting>
  <conditionalFormatting sqref="Y165:AA169">
    <cfRule type="expression" priority="317" stopIfTrue="1">
      <formula>$AL$162=1</formula>
    </cfRule>
  </conditionalFormatting>
  <conditionalFormatting sqref="Z128">
    <cfRule type="expression" dxfId="287" priority="65">
      <formula>$AL$128=2</formula>
    </cfRule>
    <cfRule type="cellIs" dxfId="286" priority="64" operator="greaterThan">
      <formula>0</formula>
    </cfRule>
  </conditionalFormatting>
  <conditionalFormatting sqref="Z68:AB69">
    <cfRule type="cellIs" priority="169" stopIfTrue="1" operator="greaterThan">
      <formula>0</formula>
    </cfRule>
    <cfRule type="expression" dxfId="285" priority="170">
      <formula>$AL$68=2</formula>
    </cfRule>
  </conditionalFormatting>
  <conditionalFormatting sqref="Z69:AB69 AG69:AI69">
    <cfRule type="expression" priority="168" stopIfTrue="1">
      <formula>$AL$69=2</formula>
    </cfRule>
  </conditionalFormatting>
  <conditionalFormatting sqref="AA21">
    <cfRule type="expression" dxfId="284" priority="332">
      <formula>ISBLANK(AA21)</formula>
    </cfRule>
  </conditionalFormatting>
  <conditionalFormatting sqref="AB32:AB40">
    <cfRule type="expression" dxfId="283" priority="306">
      <formula>$AB$30=2</formula>
    </cfRule>
    <cfRule type="cellIs" dxfId="282" priority="305" operator="greaterThan">
      <formula>0</formula>
    </cfRule>
  </conditionalFormatting>
  <conditionalFormatting sqref="AB45:AB53">
    <cfRule type="expression" dxfId="281" priority="1027">
      <formula>$AB$43=2</formula>
    </cfRule>
    <cfRule type="cellIs" dxfId="280" priority="1026" operator="greaterThan">
      <formula>0</formula>
    </cfRule>
  </conditionalFormatting>
  <conditionalFormatting sqref="AC77">
    <cfRule type="cellIs" priority="1558" stopIfTrue="1" operator="greaterThan">
      <formula>0</formula>
    </cfRule>
    <cfRule type="expression" dxfId="279" priority="1559">
      <formula>$AN$77=2</formula>
    </cfRule>
  </conditionalFormatting>
  <conditionalFormatting sqref="AC165:AC170">
    <cfRule type="cellIs" dxfId="278" priority="1153" operator="greaterThan">
      <formula>$AM$172</formula>
    </cfRule>
  </conditionalFormatting>
  <conditionalFormatting sqref="AD119 N119 T119">
    <cfRule type="expression" dxfId="277" priority="136">
      <formula>$AL$75=2</formula>
    </cfRule>
  </conditionalFormatting>
  <conditionalFormatting sqref="AD119">
    <cfRule type="cellIs" priority="135" stopIfTrue="1" operator="greaterThan">
      <formula>0</formula>
    </cfRule>
  </conditionalFormatting>
  <conditionalFormatting sqref="AD201">
    <cfRule type="expression" dxfId="276" priority="72">
      <formula>ISBLANK(AD201)</formula>
    </cfRule>
  </conditionalFormatting>
  <conditionalFormatting sqref="AF66 AI66">
    <cfRule type="expression" priority="1560" stopIfTrue="1">
      <formula>$AM$66=2</formula>
    </cfRule>
    <cfRule type="expression" dxfId="275" priority="1561">
      <formula>$AM$66=1</formula>
    </cfRule>
  </conditionalFormatting>
  <conditionalFormatting sqref="AF122 AI122">
    <cfRule type="expression" dxfId="274" priority="229">
      <formula>$AM$122=1</formula>
    </cfRule>
  </conditionalFormatting>
  <conditionalFormatting sqref="AF139 AI139">
    <cfRule type="expression" dxfId="273" priority="228">
      <formula>$AL$139=1</formula>
    </cfRule>
  </conditionalFormatting>
  <conditionalFormatting sqref="AF36:AH40">
    <cfRule type="cellIs" dxfId="272" priority="84" operator="equal">
      <formula>0</formula>
    </cfRule>
  </conditionalFormatting>
  <conditionalFormatting sqref="AF49:AH53">
    <cfRule type="cellIs" dxfId="271" priority="83" operator="equal">
      <formula>0</formula>
    </cfRule>
  </conditionalFormatting>
  <conditionalFormatting sqref="AF64:AH64 L66:N66">
    <cfRule type="expression" dxfId="270" priority="190">
      <formula>ISBLANK(L64)</formula>
    </cfRule>
  </conditionalFormatting>
  <conditionalFormatting sqref="AG165:AG170">
    <cfRule type="expression" dxfId="269" priority="1037" stopIfTrue="1">
      <formula>ISBLANK(AG165)</formula>
    </cfRule>
  </conditionalFormatting>
  <conditionalFormatting sqref="AG166:AG170">
    <cfRule type="expression" dxfId="268" priority="1038">
      <formula>$AG166&gt;$M166</formula>
    </cfRule>
  </conditionalFormatting>
  <conditionalFormatting sqref="AG68:AI69 J68:M69">
    <cfRule type="cellIs" priority="179" stopIfTrue="1" operator="greaterThan">
      <formula>0</formula>
    </cfRule>
  </conditionalFormatting>
  <conditionalFormatting sqref="AI130 AF130">
    <cfRule type="expression" dxfId="267" priority="217">
      <formula>$AM$130=1</formula>
    </cfRule>
  </conditionalFormatting>
  <conditionalFormatting sqref="AI130">
    <cfRule type="expression" dxfId="266" priority="117" stopIfTrue="1">
      <formula>$AN$130=2</formula>
    </cfRule>
  </conditionalFormatting>
  <dataValidations disablePrompts="1" count="2">
    <dataValidation type="list" allowBlank="1" showInputMessage="1" showErrorMessage="1" sqref="S68:U68 P122:R122 F128:I128 F130:I137 O141:Q141" xr:uid="{2132A64C-F549-49EE-B00F-7C82B1EA9EDD}">
      <formula1>Shape</formula1>
    </dataValidation>
    <dataValidation type="list" allowBlank="1" showInputMessage="1" showErrorMessage="1" sqref="J68:M68 Q71:T71 N117 F122:I122 F141:I141 N119" xr:uid="{FEBCC3A8-EC37-41E3-A974-DC1AE946D1B3}">
      <formula1>Material</formula1>
    </dataValidation>
  </dataValidations>
  <pageMargins left="0.2" right="0.2" top="0.5" bottom="0.25" header="0.3" footer="0.3"/>
  <pageSetup orientation="portrait" r:id="rId1"/>
  <rowBreaks count="4" manualBreakCount="4">
    <brk id="57" max="16383" man="1"/>
    <brk id="112" max="16383" man="1"/>
    <brk id="160" max="16383" man="1"/>
    <brk id="204" max="16383" man="1"/>
  </rowBreaks>
  <colBreaks count="1" manualBreakCount="1">
    <brk id="41" max="1048575" man="1"/>
  </colBreaks>
  <drawing r:id="rId2"/>
  <legacyDrawing r:id="rId3"/>
  <legacyDrawingHF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A75D05C-E913-4A6F-B739-B4602DDB4488}">
          <x14:formula1>
            <xm:f>Tables!$E$2:$E$4</xm:f>
          </x14:formula1>
          <xm:sqref>C132:C137</xm:sqref>
        </x14:dataValidation>
        <x14:dataValidation type="list" allowBlank="1" showInputMessage="1" showErrorMessage="1" xr:uid="{5E02C0C2-0DD2-4D71-8FFC-B7382509F98F}">
          <x14:formula1>
            <xm:f>Tables!$E$2:$E$5</xm:f>
          </x14:formula1>
          <xm:sqref>C131:E131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51FFD-A585-498B-A860-98CD59CA84A3}">
  <sheetPr codeName="Sheet7">
    <tabColor theme="9" tint="0.39997558519241921"/>
  </sheetPr>
  <dimension ref="A1:CN118"/>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40" customWidth="1"/>
    <col min="2" max="36" width="2.77734375" style="40" customWidth="1"/>
    <col min="37" max="37" width="1.77734375" style="40" customWidth="1"/>
    <col min="38" max="38" width="2.77734375" style="40" customWidth="1"/>
    <col min="39" max="43" width="5.77734375" style="24" hidden="1" customWidth="1"/>
    <col min="44" max="79" width="2.77734375" style="40" customWidth="1"/>
    <col min="80" max="92" width="2.77734375" style="40" hidden="1" customWidth="1"/>
    <col min="93" max="16384" width="8.88671875" style="40" hidden="1"/>
  </cols>
  <sheetData>
    <row r="1" spans="1:88" ht="15" customHeight="1" x14ac:dyDescent="0.3">
      <c r="G1" s="3"/>
      <c r="H1" s="3"/>
      <c r="I1" s="3"/>
      <c r="J1" s="3"/>
      <c r="K1" s="3"/>
      <c r="L1" s="3"/>
      <c r="M1" s="3"/>
      <c r="N1" s="219" t="s">
        <v>512</v>
      </c>
      <c r="O1" s="219"/>
      <c r="P1" s="219"/>
      <c r="Q1" s="219"/>
      <c r="R1" s="219"/>
      <c r="S1" s="219"/>
      <c r="T1" s="219"/>
      <c r="U1" s="219"/>
      <c r="V1" s="219"/>
      <c r="W1" s="219"/>
      <c r="X1" s="219"/>
      <c r="Y1" s="219"/>
      <c r="Z1" s="219"/>
      <c r="AA1" s="219"/>
      <c r="AB1" s="219"/>
      <c r="AC1" s="219"/>
      <c r="AD1" s="219"/>
      <c r="AE1" s="219"/>
      <c r="AF1" s="219"/>
      <c r="AG1" s="219"/>
      <c r="AH1" s="219"/>
      <c r="AI1" s="219"/>
      <c r="AJ1" s="219"/>
      <c r="AK1" s="219"/>
      <c r="BD1" s="219" t="str">
        <f>N1</f>
        <v>Form 2C.2 - Underground Detention
Design Form Attachment</v>
      </c>
      <c r="BE1" s="219"/>
      <c r="BF1" s="219"/>
      <c r="BG1" s="219"/>
      <c r="BH1" s="219"/>
      <c r="BI1" s="219"/>
      <c r="BJ1" s="219"/>
      <c r="BK1" s="219"/>
      <c r="BL1" s="219"/>
      <c r="BM1" s="219"/>
      <c r="BN1" s="219"/>
      <c r="BO1" s="219"/>
      <c r="BP1" s="219"/>
      <c r="BQ1" s="219"/>
      <c r="BR1" s="219"/>
      <c r="BS1" s="219"/>
      <c r="BT1" s="219"/>
      <c r="BU1" s="219"/>
      <c r="BV1" s="219"/>
      <c r="BW1" s="219"/>
      <c r="BX1" s="219"/>
      <c r="BY1" s="219"/>
      <c r="BZ1" s="219"/>
    </row>
    <row r="2" spans="1:88" ht="15" customHeight="1" x14ac:dyDescent="0.3">
      <c r="E2" s="3"/>
      <c r="F2" s="3"/>
      <c r="G2" s="3"/>
      <c r="H2" s="3"/>
      <c r="I2" s="3"/>
      <c r="J2" s="3"/>
      <c r="K2" s="3"/>
      <c r="L2" s="3"/>
      <c r="M2" s="3"/>
      <c r="N2" s="219"/>
      <c r="O2" s="219"/>
      <c r="P2" s="219"/>
      <c r="Q2" s="219"/>
      <c r="R2" s="219"/>
      <c r="S2" s="219"/>
      <c r="T2" s="219"/>
      <c r="U2" s="219"/>
      <c r="V2" s="219"/>
      <c r="W2" s="219"/>
      <c r="X2" s="219"/>
      <c r="Y2" s="219"/>
      <c r="Z2" s="219"/>
      <c r="AA2" s="219"/>
      <c r="AB2" s="219"/>
      <c r="AC2" s="219"/>
      <c r="AD2" s="219"/>
      <c r="AE2" s="219"/>
      <c r="AF2" s="219"/>
      <c r="AG2" s="219"/>
      <c r="AH2" s="219"/>
      <c r="AI2" s="219"/>
      <c r="AJ2" s="219"/>
      <c r="AK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row>
    <row r="3" spans="1:88" ht="15" customHeight="1" x14ac:dyDescent="0.3">
      <c r="E3" s="3"/>
      <c r="F3" s="3"/>
      <c r="G3" s="3"/>
      <c r="H3" s="3"/>
      <c r="I3" s="3"/>
      <c r="J3" s="3"/>
      <c r="K3" s="3"/>
      <c r="L3" s="3"/>
      <c r="M3" s="3"/>
      <c r="N3" s="219"/>
      <c r="O3" s="219"/>
      <c r="P3" s="219"/>
      <c r="Q3" s="219"/>
      <c r="R3" s="219"/>
      <c r="S3" s="219"/>
      <c r="T3" s="219"/>
      <c r="U3" s="219"/>
      <c r="V3" s="219"/>
      <c r="W3" s="219"/>
      <c r="X3" s="219"/>
      <c r="Y3" s="219"/>
      <c r="Z3" s="219"/>
      <c r="AA3" s="219"/>
      <c r="AB3" s="219"/>
      <c r="AC3" s="219"/>
      <c r="AD3" s="219"/>
      <c r="AE3" s="219"/>
      <c r="AF3" s="219"/>
      <c r="AG3" s="219"/>
      <c r="AH3" s="219"/>
      <c r="AI3" s="219"/>
      <c r="AJ3" s="219"/>
      <c r="AK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row>
    <row r="4" spans="1:88" ht="15" customHeight="1" x14ac:dyDescent="0.3">
      <c r="E4" s="3"/>
      <c r="F4" s="3"/>
      <c r="G4" s="3"/>
      <c r="H4" s="3"/>
      <c r="I4" s="3"/>
      <c r="J4" s="3"/>
      <c r="K4" s="3"/>
      <c r="L4" s="3"/>
      <c r="M4" s="3"/>
      <c r="N4" s="219"/>
      <c r="O4" s="219"/>
      <c r="P4" s="219"/>
      <c r="Q4" s="219"/>
      <c r="R4" s="219"/>
      <c r="S4" s="219"/>
      <c r="T4" s="219"/>
      <c r="U4" s="219"/>
      <c r="V4" s="219"/>
      <c r="W4" s="219"/>
      <c r="X4" s="219"/>
      <c r="Y4" s="219"/>
      <c r="Z4" s="219"/>
      <c r="AA4" s="219"/>
      <c r="AB4" s="219"/>
      <c r="AC4" s="219"/>
      <c r="AD4" s="219"/>
      <c r="AE4" s="219"/>
      <c r="AF4" s="219"/>
      <c r="AG4" s="219"/>
      <c r="AH4" s="219"/>
      <c r="AI4" s="219"/>
      <c r="AJ4" s="219"/>
      <c r="AK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row>
    <row r="5" spans="1:88" ht="4.95" customHeight="1" x14ac:dyDescent="0.3">
      <c r="E5" s="3"/>
      <c r="F5" s="3"/>
      <c r="G5" s="3"/>
      <c r="H5" s="3"/>
      <c r="I5" s="3"/>
      <c r="J5" s="3"/>
      <c r="K5" s="3"/>
      <c r="L5" s="3"/>
      <c r="M5" s="3"/>
      <c r="N5" s="3"/>
      <c r="O5" s="3"/>
      <c r="P5" s="3"/>
      <c r="Q5" s="3"/>
      <c r="R5" s="3"/>
      <c r="S5" s="3"/>
      <c r="T5" s="3"/>
      <c r="U5" s="3"/>
      <c r="V5" s="3"/>
      <c r="W5" s="3"/>
      <c r="X5" s="3"/>
      <c r="Y5" s="3"/>
      <c r="Z5" s="3"/>
      <c r="AA5" s="3"/>
      <c r="AB5" s="27"/>
      <c r="AC5" s="27"/>
      <c r="AD5" s="27"/>
      <c r="AE5" s="27"/>
      <c r="AF5" s="27"/>
      <c r="AG5" s="27"/>
      <c r="AH5" s="27"/>
      <c r="AI5" s="27"/>
      <c r="AJ5" s="27"/>
    </row>
    <row r="6" spans="1:88" ht="15" customHeight="1" x14ac:dyDescent="0.3">
      <c r="A6" s="144"/>
      <c r="B6" s="145" t="s">
        <v>123</v>
      </c>
      <c r="C6" s="145"/>
      <c r="D6" s="145"/>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7"/>
      <c r="AR6" s="220" t="s">
        <v>74</v>
      </c>
      <c r="AS6" s="220"/>
      <c r="AT6" s="220"/>
      <c r="AU6" s="220"/>
      <c r="AV6" s="220"/>
      <c r="AW6" s="220"/>
      <c r="AX6" s="220"/>
      <c r="AY6" s="220"/>
      <c r="AZ6" s="220"/>
      <c r="BA6" s="220"/>
      <c r="BB6" s="220"/>
      <c r="BC6" s="220"/>
      <c r="BD6" s="220"/>
      <c r="BE6" s="220"/>
      <c r="BF6" s="220"/>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row>
    <row r="7" spans="1:88" ht="15" customHeight="1" x14ac:dyDescent="0.3">
      <c r="A7" s="148"/>
      <c r="B7" s="149" t="s">
        <v>65</v>
      </c>
      <c r="C7" s="149"/>
      <c r="D7" s="149"/>
      <c r="E7" s="221"/>
      <c r="F7" s="221"/>
      <c r="G7" s="221"/>
      <c r="H7" s="221"/>
      <c r="I7" s="221"/>
      <c r="J7" s="221"/>
      <c r="K7" s="221"/>
      <c r="L7" s="221"/>
      <c r="M7" s="221"/>
      <c r="N7" s="221"/>
      <c r="O7" s="221"/>
      <c r="P7" s="221"/>
      <c r="Q7" s="221"/>
      <c r="R7" s="221"/>
      <c r="S7" s="221"/>
      <c r="T7" s="221"/>
      <c r="U7" s="221"/>
      <c r="V7" s="221"/>
      <c r="W7" s="221"/>
      <c r="X7" s="221"/>
      <c r="Y7" s="149"/>
      <c r="Z7" s="149"/>
      <c r="AA7" s="149"/>
      <c r="AB7" s="149"/>
      <c r="AC7" s="149"/>
      <c r="AD7" s="150" t="s">
        <v>21</v>
      </c>
      <c r="AE7" s="222"/>
      <c r="AF7" s="222"/>
      <c r="AG7" s="222"/>
      <c r="AH7" s="222"/>
      <c r="AI7" s="222"/>
      <c r="AJ7" s="222"/>
      <c r="AK7" s="151"/>
      <c r="AR7" s="220"/>
      <c r="AS7" s="220"/>
      <c r="AT7" s="220"/>
      <c r="AU7" s="220"/>
      <c r="AV7" s="220"/>
      <c r="AW7" s="220"/>
      <c r="AX7" s="220"/>
      <c r="AY7" s="220"/>
      <c r="AZ7" s="220"/>
      <c r="BA7" s="220"/>
      <c r="BB7" s="220"/>
      <c r="BC7" s="220"/>
      <c r="BD7" s="220"/>
      <c r="BE7" s="220"/>
      <c r="BF7" s="220"/>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row>
    <row r="8" spans="1:88" ht="4.95" customHeight="1" x14ac:dyDescent="0.3">
      <c r="A8" s="148"/>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50"/>
      <c r="AG8" s="152"/>
      <c r="AH8" s="152"/>
      <c r="AI8" s="152"/>
      <c r="AJ8" s="152"/>
      <c r="AK8" s="151"/>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row>
    <row r="9" spans="1:88" ht="15" customHeight="1" x14ac:dyDescent="0.3">
      <c r="A9" s="148"/>
      <c r="B9" s="149" t="s">
        <v>22</v>
      </c>
      <c r="C9" s="149"/>
      <c r="D9" s="149"/>
      <c r="E9" s="149"/>
      <c r="F9" s="149"/>
      <c r="G9" s="153"/>
      <c r="H9" s="149" t="s">
        <v>132</v>
      </c>
      <c r="I9" s="149"/>
      <c r="J9" s="149"/>
      <c r="K9" s="149"/>
      <c r="L9" s="149"/>
      <c r="M9" s="149"/>
      <c r="N9" s="153"/>
      <c r="O9" s="149" t="s">
        <v>133</v>
      </c>
      <c r="P9" s="149"/>
      <c r="Q9" s="149"/>
      <c r="R9" s="149"/>
      <c r="S9" s="149"/>
      <c r="T9" s="149"/>
      <c r="U9" s="149"/>
      <c r="V9" s="149"/>
      <c r="W9" s="153"/>
      <c r="X9" s="149" t="s">
        <v>134</v>
      </c>
      <c r="Y9" s="149"/>
      <c r="Z9" s="149"/>
      <c r="AA9" s="149"/>
      <c r="AB9" s="149"/>
      <c r="AC9" s="153"/>
      <c r="AD9" s="149" t="s">
        <v>135</v>
      </c>
      <c r="AE9" s="149"/>
      <c r="AF9" s="149"/>
      <c r="AG9" s="149"/>
      <c r="AH9" s="149"/>
      <c r="AI9" s="149"/>
      <c r="AJ9" s="149"/>
      <c r="AK9" s="151"/>
      <c r="AR9" s="25">
        <v>1</v>
      </c>
      <c r="AS9" s="108" t="s">
        <v>489</v>
      </c>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96"/>
      <c r="BV9" s="96"/>
      <c r="BW9" s="96"/>
      <c r="BX9" s="96"/>
      <c r="BY9" s="96"/>
      <c r="BZ9" s="96"/>
      <c r="CA9" s="96"/>
      <c r="CB9" s="96"/>
      <c r="CC9" s="96"/>
      <c r="CD9" s="96"/>
      <c r="CE9" s="96"/>
      <c r="CF9" s="96"/>
      <c r="CG9" s="96"/>
      <c r="CH9" s="96"/>
      <c r="CI9" s="96"/>
      <c r="CJ9" s="154"/>
    </row>
    <row r="10" spans="1:88" ht="4.95" customHeight="1" x14ac:dyDescent="0.3">
      <c r="A10" s="148"/>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51"/>
      <c r="AR10" s="119"/>
      <c r="AS10" s="119"/>
      <c r="BU10" s="37"/>
      <c r="BV10" s="37"/>
      <c r="BW10" s="37"/>
      <c r="BX10" s="37"/>
      <c r="BY10" s="37"/>
      <c r="BZ10" s="37"/>
      <c r="CA10" s="37"/>
      <c r="CB10" s="37"/>
      <c r="CC10" s="37"/>
      <c r="CD10" s="37"/>
      <c r="CE10" s="37"/>
      <c r="CF10" s="37"/>
      <c r="CG10" s="37"/>
      <c r="CH10" s="37"/>
      <c r="CI10" s="37"/>
      <c r="CJ10" s="37"/>
    </row>
    <row r="11" spans="1:88" ht="15" customHeight="1" x14ac:dyDescent="0.3">
      <c r="A11" s="148"/>
      <c r="B11" s="149" t="s">
        <v>23</v>
      </c>
      <c r="C11" s="149"/>
      <c r="D11" s="149"/>
      <c r="E11" s="149"/>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151"/>
      <c r="AR11" s="119"/>
      <c r="AS11" s="25" t="s">
        <v>101</v>
      </c>
      <c r="AT11" s="155" t="s">
        <v>490</v>
      </c>
      <c r="CJ11" s="36"/>
    </row>
    <row r="12" spans="1:88" ht="4.95" customHeight="1" x14ac:dyDescent="0.3">
      <c r="A12" s="156"/>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8"/>
      <c r="AR12" s="96"/>
      <c r="AS12" s="101"/>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96"/>
      <c r="BV12" s="96"/>
      <c r="BW12" s="96"/>
      <c r="BX12" s="96"/>
      <c r="BY12" s="96"/>
      <c r="BZ12" s="96"/>
      <c r="CA12" s="96"/>
      <c r="CB12" s="96"/>
      <c r="CC12" s="96"/>
      <c r="CD12" s="96"/>
      <c r="CE12" s="96"/>
      <c r="CF12" s="96"/>
      <c r="CG12" s="96"/>
      <c r="CH12" s="96"/>
      <c r="CI12" s="96"/>
      <c r="CJ12" s="36"/>
    </row>
    <row r="13" spans="1:88" ht="4.95" customHeight="1" x14ac:dyDescent="0.3">
      <c r="AR13" s="96"/>
      <c r="AS13" s="101"/>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96"/>
      <c r="BV13" s="96"/>
      <c r="BW13" s="96"/>
      <c r="BX13" s="96"/>
      <c r="BY13" s="96"/>
      <c r="BZ13" s="96"/>
      <c r="CA13" s="96"/>
      <c r="CB13" s="96"/>
      <c r="CC13" s="96"/>
      <c r="CD13" s="96"/>
      <c r="CE13" s="96"/>
      <c r="CF13" s="96"/>
      <c r="CG13" s="96"/>
      <c r="CH13" s="96"/>
      <c r="CI13" s="96"/>
      <c r="CJ13" s="36"/>
    </row>
    <row r="14" spans="1:88" ht="15" customHeight="1" x14ac:dyDescent="0.3">
      <c r="B14" s="1" t="s">
        <v>191</v>
      </c>
      <c r="C14" s="1"/>
      <c r="D14" s="1"/>
      <c r="AS14" s="4" t="s">
        <v>102</v>
      </c>
      <c r="AT14" s="155" t="s">
        <v>491</v>
      </c>
      <c r="AU14" s="25"/>
      <c r="CJ14" s="96"/>
    </row>
    <row r="15" spans="1:88" ht="15" customHeight="1" x14ac:dyDescent="0.3">
      <c r="D15" s="2" t="s">
        <v>146</v>
      </c>
      <c r="E15" s="205"/>
      <c r="F15" s="205"/>
      <c r="G15" s="205"/>
      <c r="H15" s="205"/>
      <c r="I15" s="205"/>
      <c r="J15" s="205"/>
      <c r="K15" s="205"/>
      <c r="L15" s="205"/>
      <c r="M15" s="205"/>
      <c r="N15" s="205"/>
      <c r="O15" s="205"/>
      <c r="P15" s="205"/>
      <c r="Q15" s="205"/>
      <c r="R15" s="205"/>
      <c r="S15" s="205"/>
      <c r="T15" s="205"/>
      <c r="U15" s="205"/>
      <c r="V15" s="205"/>
      <c r="W15" s="205"/>
      <c r="X15" s="205"/>
      <c r="Y15" s="205"/>
      <c r="AD15" s="2" t="s">
        <v>192</v>
      </c>
      <c r="AE15" s="208"/>
      <c r="AF15" s="208"/>
      <c r="AG15" s="208"/>
      <c r="AH15" s="208"/>
      <c r="AI15" s="208"/>
      <c r="AJ15" s="208"/>
      <c r="AR15" s="25"/>
      <c r="AS15" s="4" t="s">
        <v>114</v>
      </c>
      <c r="AT15" s="40" t="s">
        <v>492</v>
      </c>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36"/>
      <c r="BV15" s="36"/>
      <c r="BW15" s="36"/>
      <c r="BX15" s="36"/>
      <c r="BY15" s="36"/>
      <c r="BZ15" s="36"/>
      <c r="CA15" s="36"/>
      <c r="CB15" s="36"/>
      <c r="CC15" s="36"/>
      <c r="CD15" s="36"/>
      <c r="CE15" s="36"/>
      <c r="CF15" s="36"/>
      <c r="CG15" s="36"/>
      <c r="CH15" s="36"/>
      <c r="CI15" s="36"/>
      <c r="CJ15" s="159"/>
    </row>
    <row r="16" spans="1:88" ht="15" customHeight="1" x14ac:dyDescent="0.3">
      <c r="D16" s="2" t="s">
        <v>147</v>
      </c>
      <c r="E16" s="207"/>
      <c r="F16" s="207"/>
      <c r="G16" s="207"/>
      <c r="H16" s="207"/>
      <c r="I16" s="207"/>
      <c r="J16" s="207"/>
      <c r="K16" s="207"/>
      <c r="L16" s="207"/>
      <c r="M16" s="207"/>
      <c r="N16" s="207"/>
      <c r="O16" s="207"/>
      <c r="P16" s="207"/>
      <c r="Q16" s="207"/>
      <c r="R16" s="207"/>
      <c r="S16" s="207"/>
      <c r="T16" s="207"/>
      <c r="U16" s="207"/>
      <c r="V16" s="207"/>
      <c r="W16" s="207"/>
      <c r="X16" s="207"/>
      <c r="Y16" s="207"/>
      <c r="AB16" s="2"/>
      <c r="AD16" s="2" t="s">
        <v>194</v>
      </c>
      <c r="AE16" s="223"/>
      <c r="AF16" s="223"/>
      <c r="AG16" s="223"/>
      <c r="AH16" s="223"/>
      <c r="AI16" s="223"/>
      <c r="AJ16" s="223"/>
      <c r="AR16" s="25"/>
      <c r="AS16" s="4" t="s">
        <v>115</v>
      </c>
      <c r="AT16" s="40" t="s">
        <v>515</v>
      </c>
      <c r="AU16" s="25"/>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96"/>
      <c r="BV16" s="96"/>
      <c r="BW16" s="96"/>
      <c r="BX16" s="96"/>
      <c r="BY16" s="96"/>
      <c r="BZ16" s="96"/>
      <c r="CA16" s="96"/>
      <c r="CB16" s="96"/>
      <c r="CC16" s="96"/>
      <c r="CD16" s="96"/>
      <c r="CE16" s="96"/>
      <c r="CF16" s="96"/>
      <c r="CG16" s="96"/>
      <c r="CH16" s="96"/>
      <c r="CI16" s="96"/>
      <c r="CJ16" s="36"/>
    </row>
    <row r="17" spans="2:88" ht="15" customHeight="1" x14ac:dyDescent="0.3">
      <c r="C17" s="13"/>
      <c r="D17" s="2" t="s">
        <v>431</v>
      </c>
      <c r="E17" s="207"/>
      <c r="F17" s="207"/>
      <c r="G17" s="207"/>
      <c r="H17" s="207"/>
      <c r="I17" s="207"/>
      <c r="J17" s="207"/>
      <c r="K17" s="207"/>
      <c r="L17" s="85"/>
      <c r="M17" s="85"/>
      <c r="N17" s="139" t="s">
        <v>150</v>
      </c>
      <c r="O17" s="207"/>
      <c r="P17" s="207"/>
      <c r="Q17" s="207"/>
      <c r="R17" s="207"/>
      <c r="S17" s="85"/>
      <c r="T17" s="85"/>
      <c r="U17" s="85"/>
      <c r="V17" s="139" t="s">
        <v>151</v>
      </c>
      <c r="W17" s="209"/>
      <c r="X17" s="209"/>
      <c r="Y17" s="209"/>
      <c r="Z17" s="13"/>
      <c r="AA17" s="13"/>
      <c r="AC17" s="13"/>
      <c r="AD17" s="2" t="s">
        <v>195</v>
      </c>
      <c r="AE17" s="224"/>
      <c r="AF17" s="224"/>
      <c r="AG17" s="224"/>
      <c r="AH17" s="224"/>
      <c r="AI17" s="224"/>
      <c r="AJ17" s="224"/>
      <c r="AR17" s="25"/>
      <c r="AS17" s="25"/>
      <c r="AU17" s="25"/>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96"/>
      <c r="BV17" s="96"/>
      <c r="BW17" s="96"/>
      <c r="BX17" s="96"/>
      <c r="BY17" s="96"/>
      <c r="BZ17" s="96"/>
      <c r="CA17" s="96"/>
      <c r="CB17" s="96"/>
      <c r="CC17" s="96"/>
      <c r="CD17" s="96"/>
      <c r="CE17" s="96"/>
      <c r="CF17" s="96"/>
      <c r="CG17" s="96"/>
      <c r="CH17" s="96"/>
      <c r="CI17" s="96"/>
    </row>
    <row r="18" spans="2:88" ht="15" customHeight="1" x14ac:dyDescent="0.3">
      <c r="C18" s="13"/>
      <c r="D18" s="2" t="s">
        <v>196</v>
      </c>
      <c r="E18" s="207"/>
      <c r="F18" s="207"/>
      <c r="G18" s="207"/>
      <c r="H18" s="207"/>
      <c r="I18" s="207"/>
      <c r="J18" s="207"/>
      <c r="K18" s="207"/>
      <c r="L18" s="205"/>
      <c r="M18" s="205"/>
      <c r="N18" s="205"/>
      <c r="O18" s="207"/>
      <c r="P18" s="207"/>
      <c r="Q18" s="207"/>
      <c r="R18" s="207"/>
      <c r="S18" s="205"/>
      <c r="T18" s="205"/>
      <c r="U18" s="205"/>
      <c r="V18" s="205"/>
      <c r="W18" s="207"/>
      <c r="X18" s="207"/>
      <c r="Y18" s="207"/>
      <c r="Z18" s="13"/>
      <c r="AA18" s="13"/>
      <c r="AC18" s="13"/>
      <c r="AE18" s="85"/>
      <c r="AF18" s="85"/>
      <c r="AG18" s="85"/>
      <c r="AH18" s="85"/>
      <c r="AI18" s="85"/>
      <c r="AJ18" s="8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36"/>
      <c r="BV18" s="36"/>
      <c r="BW18" s="36"/>
      <c r="BX18" s="36"/>
      <c r="BY18" s="36"/>
      <c r="BZ18" s="36"/>
      <c r="CA18" s="36"/>
      <c r="CB18" s="36"/>
      <c r="CC18" s="36"/>
      <c r="CD18" s="36"/>
      <c r="CE18" s="36"/>
      <c r="CF18" s="36"/>
      <c r="CG18" s="36"/>
      <c r="CH18" s="36"/>
      <c r="CI18" s="36"/>
      <c r="CJ18" s="36"/>
    </row>
    <row r="19" spans="2:88" ht="15" customHeight="1" x14ac:dyDescent="0.3">
      <c r="C19" s="13"/>
      <c r="D19" s="2" t="s">
        <v>148</v>
      </c>
      <c r="E19" s="225"/>
      <c r="F19" s="207"/>
      <c r="G19" s="207"/>
      <c r="H19" s="207"/>
      <c r="I19" s="207"/>
      <c r="J19" s="207"/>
      <c r="K19" s="207"/>
      <c r="L19" s="207"/>
      <c r="M19" s="207"/>
      <c r="N19" s="207"/>
      <c r="O19" s="207"/>
      <c r="P19" s="207"/>
      <c r="Q19" s="207"/>
      <c r="R19" s="207"/>
      <c r="S19" s="207"/>
      <c r="T19" s="207"/>
      <c r="U19" s="207"/>
      <c r="V19" s="207"/>
      <c r="W19" s="207"/>
      <c r="X19" s="207"/>
      <c r="Y19" s="207"/>
      <c r="Z19" s="13"/>
      <c r="AA19" s="13"/>
      <c r="AC19" s="13"/>
      <c r="AD19" s="2" t="s">
        <v>152</v>
      </c>
      <c r="AE19" s="226"/>
      <c r="AF19" s="226"/>
      <c r="AG19" s="226"/>
      <c r="AH19" s="226"/>
      <c r="AI19" s="226"/>
      <c r="AJ19" s="226"/>
      <c r="AM19" s="128">
        <f>IF(AND(ISBLANK(V25),ISBLANK(Y25)),0,1)</f>
        <v>0</v>
      </c>
      <c r="AN19" s="128">
        <f>IF(ISBLANK(V25),0,1)</f>
        <v>0</v>
      </c>
      <c r="AO19" s="128">
        <f>IF(ISBLANK(Y25),0,2)</f>
        <v>0</v>
      </c>
      <c r="AP19" s="128">
        <f>IF(ISBLANK(V25),1,IF(ISBLANK(Y25),2,3))</f>
        <v>1</v>
      </c>
      <c r="AQ19" s="128">
        <f>SUM(AN19:AO19)</f>
        <v>0</v>
      </c>
      <c r="AS19" s="4"/>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36"/>
      <c r="BV19" s="36"/>
      <c r="BW19" s="36"/>
      <c r="BX19" s="36"/>
      <c r="BY19" s="36"/>
      <c r="BZ19" s="36"/>
      <c r="CA19" s="36"/>
      <c r="CB19" s="36"/>
      <c r="CC19" s="36"/>
      <c r="CD19" s="36"/>
      <c r="CE19" s="36"/>
      <c r="CF19" s="36"/>
      <c r="CG19" s="36"/>
      <c r="CH19" s="36"/>
      <c r="CI19" s="36"/>
      <c r="CJ19" s="36"/>
    </row>
    <row r="20" spans="2:88" ht="4.95" customHeight="1" x14ac:dyDescent="0.3">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36"/>
      <c r="BV20" s="36"/>
      <c r="BW20" s="36"/>
      <c r="BX20" s="36"/>
      <c r="BY20" s="36"/>
      <c r="BZ20" s="36"/>
      <c r="CA20" s="36"/>
      <c r="CB20" s="36"/>
      <c r="CC20" s="36"/>
      <c r="CD20" s="36"/>
      <c r="CE20" s="36"/>
      <c r="CF20" s="36"/>
      <c r="CG20" s="36"/>
      <c r="CH20" s="36"/>
      <c r="CI20" s="36"/>
      <c r="CJ20" s="36"/>
    </row>
    <row r="21" spans="2:88" ht="15" customHeight="1" x14ac:dyDescent="0.3">
      <c r="C21" s="2"/>
      <c r="E21" s="2" t="s">
        <v>213</v>
      </c>
      <c r="F21" s="77"/>
      <c r="G21" s="40" t="s">
        <v>493</v>
      </c>
      <c r="M21" s="160"/>
      <c r="U21" s="2" t="s">
        <v>494</v>
      </c>
      <c r="V21" s="77"/>
      <c r="W21" s="13" t="s">
        <v>495</v>
      </c>
      <c r="AG21" s="2" t="s">
        <v>496</v>
      </c>
      <c r="AH21" s="206"/>
      <c r="AI21" s="206"/>
      <c r="AM21" s="128">
        <f>IF(AND(ISBLANK(V21),ISBLANK(V23)),0,1)</f>
        <v>0</v>
      </c>
      <c r="AN21" s="128">
        <f>IF(ISBLANK(V21),0,1)</f>
        <v>0</v>
      </c>
      <c r="AO21" s="128">
        <f>IF(ISBLANK(V23),0,1)</f>
        <v>0</v>
      </c>
      <c r="AP21" s="128">
        <f>IF(ISBLANK(V21),1,IF(ISBLANK(V23),2,3))</f>
        <v>1</v>
      </c>
      <c r="AS21" s="4"/>
    </row>
    <row r="22" spans="2:88" ht="4.95" customHeight="1" x14ac:dyDescent="0.3">
      <c r="C22" s="2"/>
      <c r="D22" s="2"/>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36"/>
      <c r="BV22" s="36"/>
      <c r="BW22" s="36"/>
      <c r="BX22" s="36"/>
      <c r="BY22" s="36"/>
      <c r="BZ22" s="36"/>
      <c r="CA22" s="36"/>
      <c r="CB22" s="36"/>
      <c r="CC22" s="36"/>
      <c r="CD22" s="36"/>
      <c r="CE22" s="36"/>
      <c r="CF22" s="36"/>
      <c r="CG22" s="36"/>
      <c r="CH22" s="36"/>
      <c r="CI22" s="36"/>
      <c r="CJ22" s="36"/>
    </row>
    <row r="23" spans="2:88" ht="15" customHeight="1" x14ac:dyDescent="0.3">
      <c r="F23" s="77"/>
      <c r="G23" s="40" t="s">
        <v>497</v>
      </c>
      <c r="V23" s="77"/>
      <c r="W23" s="13" t="s">
        <v>498</v>
      </c>
      <c r="AG23" s="2" t="s">
        <v>499</v>
      </c>
      <c r="AH23" s="206"/>
      <c r="AI23" s="206"/>
      <c r="AM23" s="128">
        <f>IF(ISBLANK(V21),0,1)</f>
        <v>0</v>
      </c>
      <c r="AN23" s="128">
        <f>IF(ISBLANK(V23),0,2)</f>
        <v>0</v>
      </c>
      <c r="AO23" s="128">
        <f>SUM(AM23:AN23)</f>
        <v>0</v>
      </c>
      <c r="AS23" s="4"/>
      <c r="AT23" s="15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36"/>
      <c r="BV23" s="36"/>
      <c r="BW23" s="36"/>
      <c r="BX23" s="36"/>
      <c r="BY23" s="36"/>
      <c r="BZ23" s="36"/>
      <c r="CA23" s="36"/>
      <c r="CB23" s="36"/>
      <c r="CC23" s="36"/>
      <c r="CD23" s="36"/>
      <c r="CE23" s="36"/>
      <c r="CF23" s="36"/>
      <c r="CG23" s="36"/>
      <c r="CH23" s="36"/>
      <c r="CI23" s="36"/>
      <c r="CJ23" s="36"/>
    </row>
    <row r="24" spans="2:88" ht="4.95" customHeight="1" x14ac:dyDescent="0.3">
      <c r="AE24" s="2"/>
      <c r="AF24" s="2"/>
      <c r="AG24" s="2"/>
      <c r="AH24" s="2"/>
      <c r="AI24" s="2"/>
      <c r="AK24" s="2"/>
      <c r="AL24" s="2"/>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36"/>
      <c r="BV24" s="36"/>
      <c r="BW24" s="36"/>
      <c r="BX24" s="36"/>
      <c r="BY24" s="36"/>
      <c r="BZ24" s="36"/>
      <c r="CA24" s="36"/>
      <c r="CB24" s="36"/>
      <c r="CC24" s="36"/>
      <c r="CD24" s="36"/>
      <c r="CE24" s="36"/>
      <c r="CF24" s="36"/>
      <c r="CG24" s="36"/>
      <c r="CH24" s="36"/>
      <c r="CI24" s="36"/>
      <c r="CJ24" s="36"/>
    </row>
    <row r="25" spans="2:88" ht="15" customHeight="1" x14ac:dyDescent="0.3">
      <c r="U25" s="2" t="s">
        <v>501</v>
      </c>
      <c r="V25" s="77"/>
      <c r="W25" s="13" t="s">
        <v>502</v>
      </c>
      <c r="X25" s="136"/>
      <c r="Y25" s="77"/>
      <c r="Z25" s="13" t="s">
        <v>503</v>
      </c>
      <c r="AK25" s="2"/>
      <c r="AL25" s="2"/>
      <c r="AR25" s="25"/>
      <c r="AS25" s="161"/>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36"/>
      <c r="BV25" s="36"/>
      <c r="BW25" s="36"/>
      <c r="BX25" s="36"/>
      <c r="BY25" s="36"/>
      <c r="BZ25" s="36"/>
      <c r="CA25" s="36"/>
      <c r="CB25" s="36"/>
      <c r="CC25" s="36"/>
      <c r="CD25" s="36"/>
      <c r="CE25" s="36"/>
      <c r="CF25" s="36"/>
      <c r="CG25" s="36"/>
      <c r="CH25" s="36"/>
      <c r="CI25" s="36"/>
      <c r="CJ25" s="36"/>
    </row>
    <row r="26" spans="2:88" ht="4.95" customHeight="1" x14ac:dyDescent="0.3">
      <c r="B26" s="2"/>
      <c r="C26" s="2"/>
      <c r="D26" s="2"/>
      <c r="E26" s="2"/>
      <c r="F26" s="2"/>
      <c r="G26" s="2"/>
      <c r="AE26" s="2"/>
      <c r="AF26" s="2"/>
      <c r="AG26" s="2"/>
      <c r="AH26" s="2"/>
      <c r="AI26" s="2"/>
      <c r="AJ26" s="2"/>
      <c r="AK26" s="2"/>
      <c r="AL26" s="2"/>
      <c r="AR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36"/>
      <c r="BV26" s="36"/>
      <c r="BW26" s="36"/>
      <c r="BX26" s="36"/>
      <c r="BY26" s="36"/>
      <c r="BZ26" s="36"/>
      <c r="CA26" s="36"/>
      <c r="CB26" s="36"/>
      <c r="CC26" s="36"/>
      <c r="CD26" s="36"/>
      <c r="CE26" s="36"/>
      <c r="CF26" s="36"/>
      <c r="CG26" s="36"/>
      <c r="CH26" s="36"/>
      <c r="CI26" s="36"/>
      <c r="CJ26" s="36"/>
    </row>
    <row r="27" spans="2:88" ht="15" customHeight="1" x14ac:dyDescent="0.3">
      <c r="B27" s="77"/>
      <c r="C27" s="40" t="s">
        <v>131</v>
      </c>
      <c r="E27" s="77"/>
      <c r="F27" s="40" t="s">
        <v>130</v>
      </c>
      <c r="G27" s="2"/>
      <c r="H27" s="40" t="s">
        <v>521</v>
      </c>
      <c r="AE27" s="2"/>
      <c r="AK27" s="2"/>
      <c r="AL27" s="2"/>
      <c r="AM27" s="128">
        <f>IF(AND(ISBLANK(B27),ISBLANK(E27)),1,2)</f>
        <v>1</v>
      </c>
      <c r="AN27" s="128">
        <f>IF(ISBLANK(B27),1,2)</f>
        <v>1</v>
      </c>
      <c r="AO27" s="128">
        <f>IF(ISBLANK(B27),0,2)</f>
        <v>0</v>
      </c>
      <c r="AP27" s="128">
        <f>IF(ISBLANK(B27),1,IF(ISBLANK(E27),2,3))</f>
        <v>1</v>
      </c>
      <c r="AR27" s="25"/>
      <c r="AU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36"/>
      <c r="BV27" s="36"/>
      <c r="BW27" s="36"/>
      <c r="BX27" s="36"/>
      <c r="BY27" s="36"/>
      <c r="BZ27" s="36"/>
      <c r="CA27" s="36"/>
      <c r="CB27" s="36"/>
      <c r="CC27" s="36"/>
      <c r="CD27" s="36"/>
      <c r="CE27" s="36"/>
      <c r="CF27" s="36"/>
      <c r="CG27" s="36"/>
      <c r="CH27" s="36"/>
      <c r="CI27" s="36"/>
      <c r="CJ27" s="36"/>
    </row>
    <row r="28" spans="2:88" ht="4.95" customHeight="1" x14ac:dyDescent="0.3">
      <c r="B28" s="2"/>
      <c r="C28" s="2"/>
      <c r="D28" s="2"/>
      <c r="E28" s="2"/>
      <c r="F28" s="2"/>
      <c r="G28" s="2"/>
      <c r="AE28" s="2"/>
      <c r="AF28" s="2"/>
      <c r="AG28" s="2"/>
      <c r="AH28" s="2"/>
      <c r="AI28" s="2"/>
      <c r="AJ28" s="2"/>
      <c r="AK28" s="2"/>
      <c r="AL28" s="2"/>
      <c r="AR28" s="25"/>
      <c r="AS28" s="25"/>
      <c r="AT28" s="155"/>
      <c r="AU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36"/>
      <c r="BV28" s="36"/>
      <c r="BW28" s="36"/>
      <c r="BX28" s="36"/>
      <c r="BY28" s="36"/>
      <c r="BZ28" s="36"/>
      <c r="CA28" s="36"/>
      <c r="CB28" s="36"/>
      <c r="CC28" s="36"/>
      <c r="CD28" s="36"/>
      <c r="CE28" s="36"/>
      <c r="CF28" s="36"/>
      <c r="CG28" s="36"/>
      <c r="CH28" s="36"/>
      <c r="CI28" s="36"/>
      <c r="CJ28" s="36"/>
    </row>
    <row r="29" spans="2:88" ht="15" customHeight="1" x14ac:dyDescent="0.3">
      <c r="B29" s="77"/>
      <c r="C29" s="40" t="s">
        <v>131</v>
      </c>
      <c r="E29" s="77"/>
      <c r="F29" s="40" t="s">
        <v>130</v>
      </c>
      <c r="G29" s="2"/>
      <c r="H29" s="40" t="s">
        <v>500</v>
      </c>
      <c r="AK29" s="2"/>
      <c r="AL29" s="2"/>
      <c r="AM29" s="128">
        <f>IF(AND(ISBLANK(B29),ISBLANK(E29)),1,2)</f>
        <v>1</v>
      </c>
      <c r="AN29" s="128">
        <f>IF(ISBLANK(B29),1,2)</f>
        <v>1</v>
      </c>
      <c r="AO29" s="128">
        <f>IF(ISBLANK(B29),0,2)</f>
        <v>0</v>
      </c>
      <c r="AP29" s="128">
        <f>IF(ISBLANK(B29),1,IF(ISBLANK(E29),2,3))</f>
        <v>1</v>
      </c>
      <c r="AR29" s="36"/>
      <c r="AS29" s="25"/>
      <c r="AT29" s="15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36"/>
      <c r="BV29" s="36"/>
      <c r="BW29" s="36"/>
      <c r="BX29" s="36"/>
      <c r="BY29" s="36"/>
      <c r="BZ29" s="36"/>
      <c r="CA29" s="36"/>
      <c r="CB29" s="36"/>
      <c r="CC29" s="36"/>
      <c r="CD29" s="36"/>
      <c r="CE29" s="36"/>
      <c r="CF29" s="36"/>
      <c r="CG29" s="36"/>
      <c r="CH29" s="36"/>
      <c r="CI29" s="36"/>
      <c r="CJ29" s="36"/>
    </row>
    <row r="30" spans="2:88" ht="4.95" customHeight="1" x14ac:dyDescent="0.3">
      <c r="B30" s="2"/>
      <c r="C30" s="2"/>
      <c r="D30" s="2"/>
      <c r="E30" s="2"/>
      <c r="F30" s="2"/>
      <c r="G30" s="2"/>
      <c r="AE30" s="2"/>
      <c r="AF30" s="2"/>
      <c r="AG30" s="2"/>
      <c r="AH30" s="2"/>
      <c r="AI30" s="2"/>
      <c r="AJ30" s="2"/>
      <c r="AK30" s="2"/>
      <c r="AL30" s="2"/>
      <c r="AR30" s="36"/>
      <c r="AS30" s="25"/>
      <c r="AT30" s="15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36"/>
      <c r="BV30" s="36"/>
      <c r="BW30" s="36"/>
      <c r="BX30" s="36"/>
      <c r="BY30" s="36"/>
      <c r="BZ30" s="36"/>
      <c r="CA30" s="36"/>
      <c r="CB30" s="36"/>
      <c r="CC30" s="36"/>
      <c r="CD30" s="36"/>
      <c r="CE30" s="36"/>
      <c r="CF30" s="36"/>
      <c r="CG30" s="36"/>
      <c r="CH30" s="36"/>
      <c r="CI30" s="36"/>
      <c r="CJ30" s="36"/>
    </row>
    <row r="31" spans="2:88" ht="15" customHeight="1" x14ac:dyDescent="0.3">
      <c r="B31" s="77"/>
      <c r="C31" s="40" t="s">
        <v>131</v>
      </c>
      <c r="E31" s="77"/>
      <c r="F31" s="40" t="s">
        <v>130</v>
      </c>
      <c r="G31" s="2"/>
      <c r="H31" s="40" t="s">
        <v>522</v>
      </c>
      <c r="AJ31" s="2"/>
      <c r="AK31" s="2"/>
      <c r="AL31" s="2"/>
      <c r="AM31" s="128">
        <f>IF(AND(ISBLANK(B31),ISBLANK(E31)),1,2)</f>
        <v>1</v>
      </c>
      <c r="AN31" s="128">
        <f>IF(ISBLANK(B31),1,2)</f>
        <v>1</v>
      </c>
      <c r="AO31" s="128">
        <f>IF(ISBLANK(B31),0,2)</f>
        <v>0</v>
      </c>
      <c r="AP31" s="128">
        <f>IF(ISBLANK(B31),1,IF(ISBLANK(E31),2,3))</f>
        <v>1</v>
      </c>
      <c r="AR31" s="36"/>
      <c r="AS31" s="25"/>
      <c r="AT31" s="15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36"/>
      <c r="BV31" s="36"/>
      <c r="BW31" s="36"/>
      <c r="BX31" s="36"/>
      <c r="BY31" s="36"/>
      <c r="BZ31" s="36"/>
      <c r="CA31" s="36"/>
      <c r="CB31" s="36"/>
      <c r="CC31" s="36"/>
      <c r="CD31" s="36"/>
      <c r="CE31" s="36"/>
      <c r="CF31" s="36"/>
      <c r="CG31" s="36"/>
      <c r="CH31" s="36"/>
      <c r="CI31" s="36"/>
      <c r="CJ31" s="36"/>
    </row>
    <row r="32" spans="2:88" ht="4.95" customHeight="1" x14ac:dyDescent="0.3">
      <c r="B32" s="2"/>
      <c r="C32" s="2"/>
      <c r="D32" s="2"/>
      <c r="E32" s="2"/>
      <c r="F32" s="2"/>
      <c r="G32" s="2"/>
      <c r="AE32" s="2"/>
      <c r="AF32" s="2"/>
      <c r="AG32" s="2"/>
      <c r="AJ32" s="2"/>
      <c r="AK32" s="2"/>
      <c r="AL32" s="2"/>
      <c r="AR32" s="36"/>
      <c r="AS32" s="25"/>
      <c r="AT32" s="15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36"/>
      <c r="BV32" s="36"/>
      <c r="BW32" s="36"/>
      <c r="BX32" s="36"/>
      <c r="BY32" s="36"/>
      <c r="BZ32" s="36"/>
      <c r="CA32" s="36"/>
      <c r="CB32" s="36"/>
      <c r="CC32" s="36"/>
      <c r="CD32" s="36"/>
      <c r="CE32" s="36"/>
      <c r="CF32" s="36"/>
      <c r="CG32" s="36"/>
      <c r="CH32" s="36"/>
      <c r="CI32" s="36"/>
      <c r="CJ32" s="36"/>
    </row>
    <row r="33" spans="2:88" ht="15" customHeight="1" x14ac:dyDescent="0.3">
      <c r="B33" s="184" t="str">
        <f>IF($AO$23=1,"Phase",IF($AO$23=2,"Lot","Type?"))</f>
        <v>Type?</v>
      </c>
      <c r="C33" s="184"/>
      <c r="D33" s="184"/>
      <c r="F33" s="184" t="str">
        <f>IF($AO$23=1,"No. Lots",IF($AO$23=2,"Lot ID","Type?"))</f>
        <v>Type?</v>
      </c>
      <c r="G33" s="184"/>
      <c r="H33" s="184"/>
      <c r="K33" s="184" t="s">
        <v>18</v>
      </c>
      <c r="L33" s="184"/>
      <c r="M33" s="184"/>
      <c r="R33" s="184" t="s">
        <v>504</v>
      </c>
      <c r="S33" s="184"/>
      <c r="T33" s="184"/>
      <c r="Y33" s="184" t="s">
        <v>504</v>
      </c>
      <c r="Z33" s="184"/>
      <c r="AA33" s="184"/>
      <c r="AD33" s="40" t="s">
        <v>505</v>
      </c>
      <c r="AM33" s="24" t="str">
        <f>B33</f>
        <v>Type?</v>
      </c>
      <c r="AN33" s="24" t="str">
        <f>F33</f>
        <v>Type?</v>
      </c>
      <c r="AP33" s="24" t="s">
        <v>506</v>
      </c>
      <c r="AR33" s="36"/>
      <c r="AS33" s="25"/>
      <c r="AT33" s="15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36"/>
      <c r="BV33" s="36"/>
      <c r="BW33" s="36"/>
      <c r="BX33" s="36"/>
      <c r="BY33" s="36"/>
      <c r="BZ33" s="36"/>
      <c r="CA33" s="36"/>
      <c r="CB33" s="36"/>
      <c r="CC33" s="36"/>
      <c r="CD33" s="36"/>
      <c r="CE33" s="36"/>
      <c r="CF33" s="36"/>
      <c r="CG33" s="36"/>
      <c r="CH33" s="36"/>
      <c r="CI33" s="36"/>
      <c r="CJ33" s="36"/>
    </row>
    <row r="34" spans="2:88" ht="15" customHeight="1" x14ac:dyDescent="0.3">
      <c r="C34" s="4">
        <v>1</v>
      </c>
      <c r="F34" s="227"/>
      <c r="G34" s="227"/>
      <c r="H34" s="227"/>
      <c r="K34" s="228"/>
      <c r="L34" s="228"/>
      <c r="M34" s="228"/>
      <c r="N34" s="229" t="str">
        <f>IF($AQ$19=0,"Units?",IF($AQ$19=1,"ac",IF($AQ$19=2,"sq-ft","Error")))</f>
        <v>Units?</v>
      </c>
      <c r="O34" s="229"/>
      <c r="R34" s="228"/>
      <c r="S34" s="228"/>
      <c r="T34" s="228"/>
      <c r="U34" s="229" t="str">
        <f>IF($AQ$19=0,"Units?",IF($AQ$19=1,"ac",IF($AQ$19=2,"sq-ft","Error")))</f>
        <v>Units?</v>
      </c>
      <c r="V34" s="229"/>
      <c r="Y34" s="230">
        <f>IF(ISERR(R34/K34),0,R34/K34)*100</f>
        <v>0</v>
      </c>
      <c r="Z34" s="230"/>
      <c r="AA34" s="230"/>
      <c r="AB34" s="40" t="s">
        <v>507</v>
      </c>
      <c r="AE34" s="77"/>
      <c r="AF34" s="40" t="s">
        <v>130</v>
      </c>
      <c r="AH34" s="77"/>
      <c r="AI34" s="40" t="s">
        <v>131</v>
      </c>
      <c r="AM34" s="128">
        <f>IF(OR(C34&lt;=$AH$21,C34&lt;=$AH$23),2,1)</f>
        <v>1</v>
      </c>
      <c r="AN34" s="128">
        <f>IF(ISBLANK(F34),1,2)</f>
        <v>1</v>
      </c>
      <c r="AP34" s="128">
        <f>IF(AND(ISBLANK(AE34),ISBLANK(AH34)),0,1)</f>
        <v>0</v>
      </c>
      <c r="AQ34" s="128">
        <f>IF(ISBLANK(AE34),1,IF(ISBLANK(AH34),2,3))</f>
        <v>1</v>
      </c>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36"/>
      <c r="BV34" s="36"/>
      <c r="BW34" s="36"/>
      <c r="BX34" s="36"/>
      <c r="BY34" s="36"/>
      <c r="BZ34" s="36"/>
      <c r="CA34" s="36"/>
      <c r="CB34" s="36"/>
      <c r="CC34" s="36"/>
      <c r="CD34" s="36"/>
      <c r="CE34" s="36"/>
      <c r="CF34" s="36"/>
      <c r="CG34" s="36"/>
      <c r="CH34" s="36"/>
      <c r="CI34" s="36"/>
      <c r="CJ34" s="36"/>
    </row>
    <row r="35" spans="2:88" ht="4.95" customHeight="1" x14ac:dyDescent="0.3">
      <c r="C35" s="4"/>
      <c r="F35" s="53"/>
      <c r="G35" s="53"/>
      <c r="K35" s="162"/>
      <c r="L35" s="162"/>
      <c r="M35" s="162"/>
      <c r="N35" s="13"/>
      <c r="O35" s="13"/>
      <c r="R35" s="162"/>
      <c r="S35" s="162"/>
      <c r="T35" s="162"/>
      <c r="U35" s="13"/>
      <c r="V35" s="13"/>
      <c r="Y35" s="163"/>
      <c r="Z35" s="163"/>
      <c r="AA35" s="163"/>
      <c r="AE35" s="164"/>
      <c r="AH35" s="164"/>
      <c r="AM35" s="165"/>
      <c r="AN35" s="16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36"/>
      <c r="BV35" s="36"/>
      <c r="BW35" s="36"/>
      <c r="BX35" s="36"/>
      <c r="BY35" s="36"/>
      <c r="BZ35" s="36"/>
      <c r="CA35" s="36"/>
      <c r="CB35" s="36"/>
      <c r="CC35" s="36"/>
      <c r="CD35" s="36"/>
      <c r="CE35" s="36"/>
      <c r="CF35" s="36"/>
      <c r="CG35" s="36"/>
      <c r="CH35" s="36"/>
      <c r="CI35" s="36"/>
      <c r="CJ35" s="36"/>
    </row>
    <row r="36" spans="2:88" ht="15" customHeight="1" x14ac:dyDescent="0.3">
      <c r="C36" s="4">
        <f>C34+1</f>
        <v>2</v>
      </c>
      <c r="F36" s="227"/>
      <c r="G36" s="227"/>
      <c r="H36" s="227"/>
      <c r="K36" s="228"/>
      <c r="L36" s="228"/>
      <c r="M36" s="228"/>
      <c r="N36" s="229" t="str">
        <f>IF($AQ$19=0,"Units?",IF($AQ$19=1,"ac",IF($AQ$19=2,"sq-ft","Error")))</f>
        <v>Units?</v>
      </c>
      <c r="O36" s="229"/>
      <c r="R36" s="228"/>
      <c r="S36" s="228"/>
      <c r="T36" s="228"/>
      <c r="U36" s="229" t="str">
        <f>IF($AQ$19=0,"Units?",IF($AQ$19=1,"ac",IF($AQ$19=2,"sq-ft","Error")))</f>
        <v>Units?</v>
      </c>
      <c r="V36" s="229"/>
      <c r="Y36" s="230">
        <f>IF(ISERR(R36/K36),0,R36/K36)*100</f>
        <v>0</v>
      </c>
      <c r="Z36" s="230"/>
      <c r="AA36" s="230"/>
      <c r="AB36" s="40" t="s">
        <v>507</v>
      </c>
      <c r="AE36" s="77"/>
      <c r="AF36" s="40" t="s">
        <v>130</v>
      </c>
      <c r="AH36" s="77"/>
      <c r="AI36" s="40" t="s">
        <v>131</v>
      </c>
      <c r="AM36" s="128">
        <f>IF(OR(C36&lt;=$AH$21,C36&lt;=$AH$23),2,1)</f>
        <v>1</v>
      </c>
      <c r="AN36" s="166">
        <f>IF(ISBLANK(F36),1,2)</f>
        <v>1</v>
      </c>
      <c r="AP36" s="128">
        <f>IF(AND(ISBLANK(AE36),ISBLANK(AH36)),0,1)</f>
        <v>0</v>
      </c>
      <c r="AQ36" s="128">
        <f>IF(ISBLANK(AE36),1,IF(ISBLANK(AH36),2,3))</f>
        <v>1</v>
      </c>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36"/>
      <c r="BV36" s="36"/>
      <c r="BW36" s="36"/>
      <c r="BX36" s="36"/>
      <c r="BY36" s="36"/>
      <c r="BZ36" s="36"/>
      <c r="CA36" s="36"/>
      <c r="CB36" s="36"/>
      <c r="CC36" s="36"/>
      <c r="CD36" s="36"/>
      <c r="CE36" s="36"/>
      <c r="CF36" s="36"/>
      <c r="CG36" s="36"/>
      <c r="CH36" s="36"/>
      <c r="CI36" s="36"/>
      <c r="CJ36" s="36"/>
    </row>
    <row r="37" spans="2:88" ht="4.95" customHeight="1" x14ac:dyDescent="0.3">
      <c r="C37" s="4"/>
      <c r="F37" s="53"/>
      <c r="G37" s="53"/>
      <c r="K37" s="162"/>
      <c r="L37" s="162"/>
      <c r="M37" s="162"/>
      <c r="N37" s="13"/>
      <c r="O37" s="13"/>
      <c r="R37" s="162"/>
      <c r="S37" s="162"/>
      <c r="T37" s="162"/>
      <c r="U37" s="13"/>
      <c r="V37" s="13"/>
      <c r="Y37" s="163"/>
      <c r="Z37" s="163"/>
      <c r="AA37" s="163"/>
      <c r="AE37" s="164"/>
      <c r="AH37" s="164"/>
      <c r="AM37" s="165"/>
      <c r="AN37" s="16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36"/>
      <c r="BV37" s="36"/>
      <c r="BW37" s="36"/>
      <c r="BX37" s="36"/>
      <c r="BY37" s="36"/>
      <c r="BZ37" s="36"/>
      <c r="CA37" s="36"/>
      <c r="CB37" s="36"/>
      <c r="CC37" s="36"/>
      <c r="CD37" s="36"/>
      <c r="CE37" s="36"/>
      <c r="CF37" s="36"/>
      <c r="CG37" s="36"/>
      <c r="CH37" s="36"/>
      <c r="CI37" s="36"/>
      <c r="CJ37" s="36"/>
    </row>
    <row r="38" spans="2:88" ht="15" customHeight="1" x14ac:dyDescent="0.3">
      <c r="C38" s="4">
        <f>C36+1</f>
        <v>3</v>
      </c>
      <c r="F38" s="227"/>
      <c r="G38" s="227"/>
      <c r="H38" s="227"/>
      <c r="K38" s="228"/>
      <c r="L38" s="228"/>
      <c r="M38" s="228"/>
      <c r="N38" s="229" t="str">
        <f>IF($AQ$19=0,"Units?",IF($AQ$19=1,"ac",IF($AQ$19=2,"sq-ft","Error")))</f>
        <v>Units?</v>
      </c>
      <c r="O38" s="229"/>
      <c r="R38" s="228"/>
      <c r="S38" s="228"/>
      <c r="T38" s="228"/>
      <c r="U38" s="229" t="str">
        <f>IF($AQ$19=0,"Units?",IF($AQ$19=1,"ac",IF($AQ$19=2,"sq-ft","Error")))</f>
        <v>Units?</v>
      </c>
      <c r="V38" s="229"/>
      <c r="Y38" s="230">
        <f>IF(ISERR(R38/K38),0,R38/K38)*100</f>
        <v>0</v>
      </c>
      <c r="Z38" s="230"/>
      <c r="AA38" s="230"/>
      <c r="AB38" s="40" t="s">
        <v>507</v>
      </c>
      <c r="AE38" s="77"/>
      <c r="AF38" s="40" t="s">
        <v>130</v>
      </c>
      <c r="AH38" s="77"/>
      <c r="AI38" s="40" t="s">
        <v>131</v>
      </c>
      <c r="AM38" s="128">
        <f>IF(OR(C38&lt;=$AH$21,C38&lt;=$AH$23),2,1)</f>
        <v>1</v>
      </c>
      <c r="AN38" s="128">
        <f>IF(ISBLANK(F38),1,2)</f>
        <v>1</v>
      </c>
      <c r="AP38" s="128">
        <f>IF(AND(ISBLANK(AE38),ISBLANK(AH38)),0,1)</f>
        <v>0</v>
      </c>
      <c r="AQ38" s="128">
        <f>IF(ISBLANK(AE38),1,IF(ISBLANK(AH38),2,3))</f>
        <v>1</v>
      </c>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36"/>
      <c r="BV38" s="36"/>
      <c r="BW38" s="36"/>
      <c r="BX38" s="36"/>
      <c r="BY38" s="36"/>
      <c r="BZ38" s="36"/>
      <c r="CA38" s="36"/>
      <c r="CB38" s="36"/>
      <c r="CC38" s="36"/>
      <c r="CD38" s="36"/>
      <c r="CE38" s="36"/>
      <c r="CF38" s="36"/>
      <c r="CG38" s="36"/>
      <c r="CH38" s="36"/>
      <c r="CI38" s="36"/>
      <c r="CJ38" s="36"/>
    </row>
    <row r="39" spans="2:88" ht="4.95" customHeight="1" x14ac:dyDescent="0.3">
      <c r="C39" s="4"/>
      <c r="F39" s="53"/>
      <c r="G39" s="53"/>
      <c r="K39" s="162"/>
      <c r="L39" s="162"/>
      <c r="M39" s="162"/>
      <c r="N39" s="13"/>
      <c r="O39" s="13"/>
      <c r="R39" s="162"/>
      <c r="S39" s="162"/>
      <c r="T39" s="162"/>
      <c r="U39" s="13"/>
      <c r="V39" s="13"/>
      <c r="Y39" s="163"/>
      <c r="Z39" s="163"/>
      <c r="AA39" s="163"/>
      <c r="AE39" s="164"/>
      <c r="AH39" s="164"/>
      <c r="AM39" s="165"/>
      <c r="AN39" s="16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36"/>
      <c r="BV39" s="36"/>
      <c r="BW39" s="36"/>
      <c r="BX39" s="36"/>
      <c r="BY39" s="36"/>
      <c r="BZ39" s="36"/>
      <c r="CA39" s="36"/>
      <c r="CB39" s="36"/>
      <c r="CC39" s="36"/>
      <c r="CD39" s="36"/>
      <c r="CE39" s="36"/>
      <c r="CF39" s="36"/>
      <c r="CG39" s="36"/>
      <c r="CH39" s="36"/>
      <c r="CI39" s="36"/>
      <c r="CJ39" s="36"/>
    </row>
    <row r="40" spans="2:88" ht="15" customHeight="1" x14ac:dyDescent="0.3">
      <c r="C40" s="4">
        <f>C38+1</f>
        <v>4</v>
      </c>
      <c r="F40" s="227"/>
      <c r="G40" s="227"/>
      <c r="H40" s="227"/>
      <c r="K40" s="228"/>
      <c r="L40" s="228"/>
      <c r="M40" s="228"/>
      <c r="N40" s="229" t="str">
        <f>IF($AQ$19=0,"Units?",IF($AQ$19=1,"ac",IF($AQ$19=2,"sq-ft","Error")))</f>
        <v>Units?</v>
      </c>
      <c r="O40" s="229"/>
      <c r="R40" s="228"/>
      <c r="S40" s="228"/>
      <c r="T40" s="228"/>
      <c r="U40" s="229" t="str">
        <f>IF($AQ$19=0,"Units?",IF($AQ$19=1,"ac",IF($AQ$19=2,"sq-ft","Error")))</f>
        <v>Units?</v>
      </c>
      <c r="V40" s="229"/>
      <c r="Y40" s="230">
        <f>IF(ISERR(R40/K40),0,R40/K40)*100</f>
        <v>0</v>
      </c>
      <c r="Z40" s="230"/>
      <c r="AA40" s="230"/>
      <c r="AB40" s="40" t="s">
        <v>507</v>
      </c>
      <c r="AE40" s="77"/>
      <c r="AF40" s="40" t="s">
        <v>130</v>
      </c>
      <c r="AH40" s="77"/>
      <c r="AI40" s="40" t="s">
        <v>131</v>
      </c>
      <c r="AM40" s="128">
        <f>IF(OR(C40&lt;=$AH$21,C40&lt;=$AH$23),2,1)</f>
        <v>1</v>
      </c>
      <c r="AN40" s="128">
        <f>IF(ISBLANK(F40),1,2)</f>
        <v>1</v>
      </c>
      <c r="AP40" s="128">
        <f>IF(AND(ISBLANK(AE40),ISBLANK(AH40)),0,1)</f>
        <v>0</v>
      </c>
      <c r="AQ40" s="128">
        <f>IF(ISBLANK(AE40),1,IF(ISBLANK(AH40),2,3))</f>
        <v>1</v>
      </c>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36"/>
      <c r="BV40" s="36"/>
      <c r="BW40" s="36"/>
      <c r="BX40" s="36"/>
      <c r="BY40" s="36"/>
      <c r="BZ40" s="36"/>
      <c r="CA40" s="36"/>
      <c r="CB40" s="36"/>
      <c r="CC40" s="36"/>
      <c r="CD40" s="36"/>
      <c r="CE40" s="36"/>
      <c r="CF40" s="36"/>
      <c r="CG40" s="36"/>
      <c r="CH40" s="36"/>
      <c r="CI40" s="36"/>
      <c r="CJ40" s="36"/>
    </row>
    <row r="41" spans="2:88" ht="4.95" customHeight="1" x14ac:dyDescent="0.3">
      <c r="C41" s="4"/>
      <c r="F41" s="53"/>
      <c r="G41" s="53"/>
      <c r="K41" s="162"/>
      <c r="L41" s="162"/>
      <c r="M41" s="162"/>
      <c r="N41" s="13"/>
      <c r="O41" s="13"/>
      <c r="R41" s="162"/>
      <c r="S41" s="162"/>
      <c r="T41" s="162"/>
      <c r="U41" s="13"/>
      <c r="V41" s="13"/>
      <c r="Y41" s="163"/>
      <c r="Z41" s="163"/>
      <c r="AA41" s="163"/>
      <c r="AE41" s="164"/>
      <c r="AH41" s="164"/>
      <c r="AM41" s="165"/>
      <c r="AN41" s="16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36"/>
      <c r="BV41" s="36"/>
      <c r="BW41" s="36"/>
      <c r="BX41" s="36"/>
      <c r="BY41" s="36"/>
      <c r="BZ41" s="36"/>
      <c r="CA41" s="36"/>
      <c r="CB41" s="36"/>
      <c r="CC41" s="36"/>
      <c r="CD41" s="36"/>
      <c r="CE41" s="36"/>
      <c r="CF41" s="36"/>
      <c r="CG41" s="36"/>
      <c r="CH41" s="36"/>
      <c r="CI41" s="36"/>
      <c r="CJ41" s="36"/>
    </row>
    <row r="42" spans="2:88" ht="15" customHeight="1" x14ac:dyDescent="0.3">
      <c r="C42" s="4">
        <f>C40+1</f>
        <v>5</v>
      </c>
      <c r="F42" s="227"/>
      <c r="G42" s="227"/>
      <c r="H42" s="227"/>
      <c r="K42" s="228"/>
      <c r="L42" s="228"/>
      <c r="M42" s="228"/>
      <c r="N42" s="229" t="str">
        <f>IF($AQ$19=0,"Units?",IF($AQ$19=1,"ac",IF($AQ$19=2,"sq-ft","Error")))</f>
        <v>Units?</v>
      </c>
      <c r="O42" s="229"/>
      <c r="R42" s="228"/>
      <c r="S42" s="228"/>
      <c r="T42" s="228"/>
      <c r="U42" s="229" t="str">
        <f>IF($AQ$19=0,"Units?",IF($AQ$19=1,"ac",IF($AQ$19=2,"sq-ft","Error")))</f>
        <v>Units?</v>
      </c>
      <c r="V42" s="229"/>
      <c r="Y42" s="230">
        <f>IF(ISERR(R42/K42),0,R42/K42)*100</f>
        <v>0</v>
      </c>
      <c r="Z42" s="230"/>
      <c r="AA42" s="230"/>
      <c r="AB42" s="40" t="s">
        <v>507</v>
      </c>
      <c r="AE42" s="77"/>
      <c r="AF42" s="40" t="s">
        <v>130</v>
      </c>
      <c r="AH42" s="77"/>
      <c r="AI42" s="40" t="s">
        <v>131</v>
      </c>
      <c r="AM42" s="128">
        <f>IF(OR(C42&lt;=$AH$21,C42&lt;=$AH$23),2,1)</f>
        <v>1</v>
      </c>
      <c r="AN42" s="128">
        <f>IF(ISBLANK(F42),1,2)</f>
        <v>1</v>
      </c>
      <c r="AP42" s="128">
        <f>IF(AND(ISBLANK(AE42),ISBLANK(AH42)),0,1)</f>
        <v>0</v>
      </c>
      <c r="AQ42" s="128">
        <f>IF(ISBLANK(AE42),1,IF(ISBLANK(AH42),2,3))</f>
        <v>1</v>
      </c>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36"/>
      <c r="BV42" s="36"/>
      <c r="BW42" s="36"/>
      <c r="BX42" s="36"/>
      <c r="BY42" s="36"/>
      <c r="BZ42" s="36"/>
      <c r="CA42" s="36"/>
      <c r="CB42" s="36"/>
      <c r="CC42" s="36"/>
      <c r="CD42" s="36"/>
      <c r="CE42" s="36"/>
      <c r="CF42" s="36"/>
      <c r="CG42" s="36"/>
      <c r="CH42" s="36"/>
      <c r="CI42" s="36"/>
      <c r="CJ42" s="36"/>
    </row>
    <row r="43" spans="2:88" ht="4.95" customHeight="1" x14ac:dyDescent="0.3">
      <c r="C43" s="4"/>
      <c r="F43" s="53"/>
      <c r="G43" s="53"/>
      <c r="K43" s="162"/>
      <c r="L43" s="162"/>
      <c r="M43" s="162"/>
      <c r="N43" s="13"/>
      <c r="O43" s="13"/>
      <c r="R43" s="162"/>
      <c r="S43" s="162"/>
      <c r="T43" s="162"/>
      <c r="U43" s="13"/>
      <c r="V43" s="13"/>
      <c r="Y43" s="163"/>
      <c r="Z43" s="163"/>
      <c r="AA43" s="163"/>
      <c r="AE43" s="164"/>
      <c r="AH43" s="164"/>
      <c r="AM43" s="165"/>
      <c r="AN43" s="16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36"/>
      <c r="BV43" s="36"/>
      <c r="BW43" s="36"/>
      <c r="BX43" s="36"/>
      <c r="BY43" s="36"/>
      <c r="BZ43" s="36"/>
      <c r="CA43" s="36"/>
      <c r="CB43" s="36"/>
      <c r="CC43" s="36"/>
      <c r="CD43" s="36"/>
      <c r="CE43" s="36"/>
      <c r="CF43" s="36"/>
      <c r="CG43" s="36"/>
      <c r="CH43" s="36"/>
      <c r="CI43" s="36"/>
      <c r="CJ43" s="36"/>
    </row>
    <row r="44" spans="2:88" ht="15" customHeight="1" x14ac:dyDescent="0.3">
      <c r="C44" s="4">
        <f>C42+1</f>
        <v>6</v>
      </c>
      <c r="F44" s="227"/>
      <c r="G44" s="227"/>
      <c r="H44" s="227"/>
      <c r="K44" s="228"/>
      <c r="L44" s="228"/>
      <c r="M44" s="228"/>
      <c r="N44" s="229" t="str">
        <f>IF($AQ$19=0,"Units?",IF($AQ$19=1,"ac",IF($AQ$19=2,"sq-ft","Error")))</f>
        <v>Units?</v>
      </c>
      <c r="O44" s="229"/>
      <c r="R44" s="228"/>
      <c r="S44" s="228"/>
      <c r="T44" s="228"/>
      <c r="U44" s="229" t="str">
        <f>IF($AQ$19=0,"Units?",IF($AQ$19=1,"ac",IF($AQ$19=2,"sq-ft","Error")))</f>
        <v>Units?</v>
      </c>
      <c r="V44" s="229"/>
      <c r="Y44" s="230">
        <f>IF(ISERR(R44/K44),0,R44/K44)*100</f>
        <v>0</v>
      </c>
      <c r="Z44" s="230"/>
      <c r="AA44" s="230"/>
      <c r="AB44" s="40" t="s">
        <v>507</v>
      </c>
      <c r="AE44" s="77"/>
      <c r="AF44" s="40" t="s">
        <v>130</v>
      </c>
      <c r="AH44" s="77"/>
      <c r="AI44" s="40" t="s">
        <v>131</v>
      </c>
      <c r="AM44" s="128">
        <f>IF(OR(C44&lt;=$AH$21,C44&lt;=$AH$23),2,1)</f>
        <v>1</v>
      </c>
      <c r="AN44" s="128">
        <f>IF(ISBLANK(F44),1,2)</f>
        <v>1</v>
      </c>
      <c r="AP44" s="128">
        <f>IF(AND(ISBLANK(AE44),ISBLANK(AH44)),0,1)</f>
        <v>0</v>
      </c>
      <c r="AQ44" s="128">
        <f>IF(ISBLANK(AE44),1,IF(ISBLANK(AH44),2,3))</f>
        <v>1</v>
      </c>
      <c r="AR44" s="36"/>
      <c r="AS44" s="25"/>
      <c r="AT44" s="15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36"/>
      <c r="BV44" s="36"/>
      <c r="BW44" s="36"/>
      <c r="BX44" s="36"/>
      <c r="BY44" s="36"/>
      <c r="BZ44" s="36"/>
      <c r="CA44" s="36"/>
      <c r="CB44" s="36"/>
      <c r="CC44" s="36"/>
      <c r="CD44" s="36"/>
      <c r="CE44" s="36"/>
      <c r="CF44" s="36"/>
      <c r="CG44" s="36"/>
      <c r="CH44" s="36"/>
      <c r="CI44" s="36"/>
      <c r="CJ44" s="36"/>
    </row>
    <row r="45" spans="2:88" ht="4.95" customHeight="1" x14ac:dyDescent="0.3">
      <c r="C45" s="4"/>
      <c r="F45" s="53"/>
      <c r="G45" s="53"/>
      <c r="K45" s="162"/>
      <c r="L45" s="162"/>
      <c r="M45" s="162"/>
      <c r="N45" s="13"/>
      <c r="O45" s="13"/>
      <c r="R45" s="162"/>
      <c r="S45" s="162"/>
      <c r="T45" s="162"/>
      <c r="U45" s="13"/>
      <c r="V45" s="13"/>
      <c r="Y45" s="163"/>
      <c r="Z45" s="163"/>
      <c r="AA45" s="163"/>
      <c r="AE45" s="164"/>
      <c r="AH45" s="164"/>
      <c r="AM45" s="165"/>
      <c r="AN45" s="165"/>
      <c r="AR45" s="36"/>
      <c r="AS45" s="25"/>
      <c r="AT45" s="15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36"/>
      <c r="BV45" s="36"/>
      <c r="BW45" s="36"/>
      <c r="BX45" s="36"/>
      <c r="BY45" s="36"/>
      <c r="BZ45" s="36"/>
      <c r="CA45" s="36"/>
      <c r="CB45" s="36"/>
      <c r="CC45" s="36"/>
      <c r="CD45" s="36"/>
      <c r="CE45" s="36"/>
      <c r="CF45" s="36"/>
      <c r="CG45" s="36"/>
      <c r="CH45" s="36"/>
      <c r="CI45" s="36"/>
      <c r="CJ45" s="36"/>
    </row>
    <row r="46" spans="2:88" ht="15" customHeight="1" x14ac:dyDescent="0.3">
      <c r="C46" s="4">
        <f>C44+1</f>
        <v>7</v>
      </c>
      <c r="F46" s="227"/>
      <c r="G46" s="227"/>
      <c r="H46" s="227"/>
      <c r="K46" s="228"/>
      <c r="L46" s="228"/>
      <c r="M46" s="228"/>
      <c r="N46" s="229" t="str">
        <f>IF($AQ$19=0,"Units?",IF($AQ$19=1,"ac",IF($AQ$19=2,"sq-ft","Error")))</f>
        <v>Units?</v>
      </c>
      <c r="O46" s="229"/>
      <c r="R46" s="228"/>
      <c r="S46" s="228"/>
      <c r="T46" s="228"/>
      <c r="U46" s="229" t="str">
        <f>IF($AQ$19=0,"Units?",IF($AQ$19=1,"ac",IF($AQ$19=2,"sq-ft","Error")))</f>
        <v>Units?</v>
      </c>
      <c r="V46" s="229"/>
      <c r="Y46" s="230">
        <f>IF(ISERR(R46/K46),0,R46/K46)*100</f>
        <v>0</v>
      </c>
      <c r="Z46" s="230"/>
      <c r="AA46" s="230"/>
      <c r="AB46" s="40" t="s">
        <v>507</v>
      </c>
      <c r="AE46" s="77"/>
      <c r="AF46" s="40" t="s">
        <v>130</v>
      </c>
      <c r="AH46" s="77"/>
      <c r="AI46" s="40" t="s">
        <v>131</v>
      </c>
      <c r="AM46" s="128">
        <f>IF(OR(C46&lt;=$AH$21,C46&lt;=$AH$23),2,1)</f>
        <v>1</v>
      </c>
      <c r="AN46" s="128">
        <f>IF(ISBLANK(F46),1,2)</f>
        <v>1</v>
      </c>
      <c r="AP46" s="128">
        <f>IF(AND(ISBLANK(AE46),ISBLANK(AH46)),0,1)</f>
        <v>0</v>
      </c>
      <c r="AQ46" s="128">
        <f>IF(ISBLANK(AE46),1,IF(ISBLANK(AH46),2,3))</f>
        <v>1</v>
      </c>
      <c r="AR46" s="25"/>
      <c r="AS46" s="161"/>
      <c r="AT46" s="15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36"/>
      <c r="BV46" s="36"/>
      <c r="BW46" s="36"/>
      <c r="BX46" s="36"/>
      <c r="BY46" s="36"/>
      <c r="BZ46" s="36"/>
      <c r="CA46" s="36"/>
      <c r="CB46" s="36"/>
      <c r="CC46" s="36"/>
      <c r="CD46" s="36"/>
      <c r="CE46" s="36"/>
      <c r="CF46" s="36"/>
      <c r="CG46" s="36"/>
      <c r="CH46" s="36"/>
      <c r="CI46" s="36"/>
      <c r="CJ46" s="36"/>
    </row>
    <row r="47" spans="2:88" ht="4.95" customHeight="1" x14ac:dyDescent="0.3">
      <c r="C47" s="4"/>
      <c r="F47" s="53"/>
      <c r="G47" s="53"/>
      <c r="K47" s="162"/>
      <c r="L47" s="162"/>
      <c r="M47" s="162"/>
      <c r="N47" s="13"/>
      <c r="O47" s="13"/>
      <c r="R47" s="162"/>
      <c r="S47" s="162"/>
      <c r="T47" s="162"/>
      <c r="U47" s="13"/>
      <c r="V47" s="13"/>
      <c r="Y47" s="163"/>
      <c r="Z47" s="163"/>
      <c r="AA47" s="163"/>
      <c r="AE47" s="164"/>
      <c r="AH47" s="164"/>
      <c r="AM47" s="165"/>
      <c r="AN47" s="165"/>
      <c r="AR47" s="25"/>
      <c r="AS47" s="161"/>
      <c r="AT47" s="15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36"/>
      <c r="BV47" s="36"/>
      <c r="BW47" s="36"/>
      <c r="BX47" s="36"/>
      <c r="BY47" s="36"/>
      <c r="BZ47" s="36"/>
      <c r="CA47" s="36"/>
      <c r="CB47" s="36"/>
      <c r="CC47" s="36"/>
      <c r="CD47" s="36"/>
      <c r="CE47" s="36"/>
      <c r="CF47" s="36"/>
      <c r="CG47" s="36"/>
      <c r="CH47" s="36"/>
      <c r="CI47" s="36"/>
      <c r="CJ47" s="36"/>
    </row>
    <row r="48" spans="2:88" ht="15" customHeight="1" x14ac:dyDescent="0.3">
      <c r="C48" s="4">
        <f>C46+1</f>
        <v>8</v>
      </c>
      <c r="F48" s="227"/>
      <c r="G48" s="227"/>
      <c r="H48" s="227"/>
      <c r="K48" s="228"/>
      <c r="L48" s="228"/>
      <c r="M48" s="228"/>
      <c r="N48" s="229" t="str">
        <f>IF($AQ$19=0,"Units?",IF($AQ$19=1,"ac",IF($AQ$19=2,"sq-ft","Error")))</f>
        <v>Units?</v>
      </c>
      <c r="O48" s="229"/>
      <c r="R48" s="228"/>
      <c r="S48" s="228"/>
      <c r="T48" s="228"/>
      <c r="U48" s="229" t="str">
        <f>IF($AQ$19=0,"Units?",IF($AQ$19=1,"ac",IF($AQ$19=2,"sq-ft","Error")))</f>
        <v>Units?</v>
      </c>
      <c r="V48" s="229"/>
      <c r="Y48" s="230">
        <f>IF(ISERR(R48/K48),0,R48/K48)*100</f>
        <v>0</v>
      </c>
      <c r="Z48" s="230"/>
      <c r="AA48" s="230"/>
      <c r="AB48" s="40" t="s">
        <v>507</v>
      </c>
      <c r="AE48" s="77"/>
      <c r="AF48" s="40" t="s">
        <v>130</v>
      </c>
      <c r="AH48" s="77"/>
      <c r="AI48" s="40" t="s">
        <v>131</v>
      </c>
      <c r="AM48" s="128">
        <f>IF(OR(C48&lt;=$AH$21,C48&lt;=$AH$23),2,1)</f>
        <v>1</v>
      </c>
      <c r="AN48" s="128">
        <f>IF(ISBLANK(F48),1,2)</f>
        <v>1</v>
      </c>
      <c r="AP48" s="128">
        <f>IF(AND(ISBLANK(AE48),ISBLANK(AH48)),0,1)</f>
        <v>0</v>
      </c>
      <c r="AQ48" s="128">
        <f>IF(ISBLANK(AE48),1,IF(ISBLANK(AH48),2,3))</f>
        <v>1</v>
      </c>
      <c r="AR48" s="36"/>
      <c r="AS48" s="25"/>
      <c r="AT48" s="15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36"/>
      <c r="BV48" s="36"/>
      <c r="BW48" s="36"/>
      <c r="BX48" s="36"/>
      <c r="BY48" s="36"/>
      <c r="BZ48" s="36"/>
      <c r="CA48" s="36"/>
      <c r="CB48" s="36"/>
      <c r="CC48" s="36"/>
      <c r="CD48" s="36"/>
      <c r="CE48" s="36"/>
      <c r="CF48" s="36"/>
      <c r="CG48" s="36"/>
      <c r="CH48" s="36"/>
      <c r="CI48" s="36"/>
      <c r="CJ48" s="36"/>
    </row>
    <row r="49" spans="3:88" ht="4.95" customHeight="1" x14ac:dyDescent="0.3">
      <c r="C49" s="4"/>
      <c r="F49" s="53"/>
      <c r="G49" s="53"/>
      <c r="K49" s="162"/>
      <c r="L49" s="162"/>
      <c r="M49" s="162"/>
      <c r="N49" s="13"/>
      <c r="O49" s="13"/>
      <c r="R49" s="162"/>
      <c r="S49" s="162"/>
      <c r="T49" s="162"/>
      <c r="U49" s="13"/>
      <c r="V49" s="13"/>
      <c r="Y49" s="163"/>
      <c r="Z49" s="163"/>
      <c r="AA49" s="163"/>
      <c r="AE49" s="164"/>
      <c r="AH49" s="164"/>
      <c r="AM49" s="165"/>
      <c r="AN49" s="165"/>
      <c r="AR49" s="36"/>
      <c r="AS49" s="25"/>
      <c r="AT49" s="15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36"/>
      <c r="BV49" s="36"/>
      <c r="BW49" s="36"/>
      <c r="BX49" s="36"/>
      <c r="BY49" s="36"/>
      <c r="BZ49" s="36"/>
      <c r="CA49" s="36"/>
      <c r="CB49" s="36"/>
      <c r="CC49" s="36"/>
      <c r="CD49" s="36"/>
      <c r="CE49" s="36"/>
      <c r="CF49" s="36"/>
      <c r="CG49" s="36"/>
      <c r="CH49" s="36"/>
      <c r="CI49" s="36"/>
      <c r="CJ49" s="36"/>
    </row>
    <row r="50" spans="3:88" ht="15" customHeight="1" x14ac:dyDescent="0.3">
      <c r="C50" s="4">
        <f>C48+1</f>
        <v>9</v>
      </c>
      <c r="F50" s="227"/>
      <c r="G50" s="227"/>
      <c r="H50" s="227"/>
      <c r="K50" s="228"/>
      <c r="L50" s="228"/>
      <c r="M50" s="228"/>
      <c r="N50" s="229" t="str">
        <f>IF($AQ$19=0,"Units?",IF($AQ$19=1,"ac",IF($AQ$19=2,"sq-ft","Error")))</f>
        <v>Units?</v>
      </c>
      <c r="O50" s="229"/>
      <c r="R50" s="228"/>
      <c r="S50" s="228"/>
      <c r="T50" s="228"/>
      <c r="U50" s="229" t="str">
        <f>IF($AQ$19=0,"Units?",IF($AQ$19=1,"ac",IF($AQ$19=2,"sq-ft","Error")))</f>
        <v>Units?</v>
      </c>
      <c r="V50" s="229"/>
      <c r="Y50" s="230">
        <f>IF(ISERR(R50/K50),0,R50/K50)*100</f>
        <v>0</v>
      </c>
      <c r="Z50" s="230"/>
      <c r="AA50" s="230"/>
      <c r="AB50" s="40" t="s">
        <v>507</v>
      </c>
      <c r="AE50" s="77"/>
      <c r="AF50" s="40" t="s">
        <v>130</v>
      </c>
      <c r="AH50" s="77"/>
      <c r="AI50" s="40" t="s">
        <v>131</v>
      </c>
      <c r="AM50" s="128">
        <f>IF(OR(C50&lt;=$AH$21,C50&lt;=$AH$23),2,1)</f>
        <v>1</v>
      </c>
      <c r="AN50" s="128">
        <f>IF(ISBLANK(F50),1,2)</f>
        <v>1</v>
      </c>
      <c r="AP50" s="128">
        <f>IF(AND(ISBLANK(AE50),ISBLANK(AH50)),0,1)</f>
        <v>0</v>
      </c>
      <c r="AQ50" s="128">
        <f>IF(ISBLANK(AE50),1,IF(ISBLANK(AH50),2,3))</f>
        <v>1</v>
      </c>
      <c r="AR50" s="36"/>
      <c r="AS50" s="25"/>
      <c r="AT50" s="15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36"/>
      <c r="BV50" s="36"/>
      <c r="BW50" s="36"/>
      <c r="BX50" s="36"/>
      <c r="BY50" s="36"/>
      <c r="BZ50" s="36"/>
      <c r="CA50" s="36"/>
      <c r="CB50" s="36"/>
      <c r="CC50" s="36"/>
      <c r="CD50" s="36"/>
      <c r="CE50" s="36"/>
      <c r="CF50" s="36"/>
      <c r="CG50" s="36"/>
      <c r="CH50" s="36"/>
      <c r="CI50" s="36"/>
      <c r="CJ50" s="36"/>
    </row>
    <row r="51" spans="3:88" ht="4.95" customHeight="1" x14ac:dyDescent="0.3">
      <c r="C51" s="4"/>
      <c r="F51" s="53"/>
      <c r="G51" s="53"/>
      <c r="K51" s="162"/>
      <c r="L51" s="162"/>
      <c r="M51" s="162"/>
      <c r="N51" s="13"/>
      <c r="O51" s="13"/>
      <c r="R51" s="162"/>
      <c r="S51" s="162"/>
      <c r="T51" s="162"/>
      <c r="U51" s="13"/>
      <c r="V51" s="13"/>
      <c r="Y51" s="163"/>
      <c r="Z51" s="163"/>
      <c r="AA51" s="163"/>
      <c r="AE51" s="164"/>
      <c r="AH51" s="164"/>
      <c r="AM51" s="165"/>
      <c r="AN51" s="165"/>
      <c r="AR51" s="36"/>
      <c r="AS51" s="25"/>
      <c r="AT51" s="15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36"/>
      <c r="BV51" s="36"/>
      <c r="BW51" s="36"/>
      <c r="BX51" s="36"/>
      <c r="BY51" s="36"/>
      <c r="BZ51" s="36"/>
      <c r="CA51" s="36"/>
      <c r="CB51" s="36"/>
      <c r="CC51" s="36"/>
      <c r="CD51" s="36"/>
      <c r="CE51" s="36"/>
      <c r="CF51" s="36"/>
      <c r="CG51" s="36"/>
      <c r="CH51" s="36"/>
      <c r="CI51" s="36"/>
      <c r="CJ51" s="36"/>
    </row>
    <row r="52" spans="3:88" ht="15" customHeight="1" x14ac:dyDescent="0.3">
      <c r="C52" s="4">
        <f>C50+1</f>
        <v>10</v>
      </c>
      <c r="F52" s="227"/>
      <c r="G52" s="227"/>
      <c r="H52" s="227"/>
      <c r="K52" s="228"/>
      <c r="L52" s="228"/>
      <c r="M52" s="228"/>
      <c r="N52" s="229" t="str">
        <f>IF($AQ$19=0,"Units?",IF($AQ$19=1,"ac",IF($AQ$19=2,"sq-ft","Error")))</f>
        <v>Units?</v>
      </c>
      <c r="O52" s="229"/>
      <c r="R52" s="228"/>
      <c r="S52" s="228"/>
      <c r="T52" s="228"/>
      <c r="U52" s="229" t="str">
        <f>IF($AQ$19=0,"Units?",IF($AQ$19=1,"ac",IF($AQ$19=2,"sq-ft","Error")))</f>
        <v>Units?</v>
      </c>
      <c r="V52" s="229"/>
      <c r="Y52" s="230">
        <f>IF(ISERR(R52/K52),0,R52/K52)*100</f>
        <v>0</v>
      </c>
      <c r="Z52" s="230"/>
      <c r="AA52" s="230"/>
      <c r="AB52" s="40" t="s">
        <v>507</v>
      </c>
      <c r="AE52" s="77"/>
      <c r="AF52" s="40" t="s">
        <v>130</v>
      </c>
      <c r="AH52" s="77"/>
      <c r="AI52" s="40" t="s">
        <v>131</v>
      </c>
      <c r="AM52" s="128">
        <f>IF(OR(C52&lt;=$AH$21,C52&lt;=$AH$23),2,1)</f>
        <v>1</v>
      </c>
      <c r="AN52" s="128">
        <f>IF(ISBLANK(F52),1,2)</f>
        <v>1</v>
      </c>
      <c r="AP52" s="128">
        <f>IF(AND(ISBLANK(AE52),ISBLANK(AH52)),0,1)</f>
        <v>0</v>
      </c>
      <c r="AQ52" s="128">
        <f>IF(ISBLANK(AE52),1,IF(ISBLANK(AH52),2,3))</f>
        <v>1</v>
      </c>
      <c r="AR52" s="36"/>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36"/>
      <c r="BV52" s="36"/>
      <c r="BW52" s="36"/>
      <c r="BX52" s="36"/>
      <c r="BY52" s="36"/>
      <c r="BZ52" s="36"/>
      <c r="CA52" s="36"/>
      <c r="CB52" s="36"/>
      <c r="CC52" s="36"/>
      <c r="CD52" s="36"/>
      <c r="CE52" s="36"/>
      <c r="CF52" s="36"/>
      <c r="CG52" s="36"/>
      <c r="CH52" s="36"/>
      <c r="CI52" s="36"/>
      <c r="CJ52" s="36"/>
    </row>
    <row r="53" spans="3:88" ht="4.95" customHeight="1" x14ac:dyDescent="0.3">
      <c r="C53" s="4"/>
      <c r="F53" s="53"/>
      <c r="G53" s="53"/>
      <c r="K53" s="162"/>
      <c r="L53" s="162"/>
      <c r="M53" s="162"/>
      <c r="N53" s="13"/>
      <c r="O53" s="13"/>
      <c r="R53" s="162"/>
      <c r="S53" s="162"/>
      <c r="T53" s="162"/>
      <c r="U53" s="13"/>
      <c r="V53" s="13"/>
      <c r="Y53" s="163"/>
      <c r="Z53" s="163"/>
      <c r="AA53" s="163"/>
      <c r="AE53" s="164"/>
      <c r="AH53" s="164"/>
      <c r="AM53" s="165"/>
      <c r="AN53" s="165"/>
      <c r="AR53" s="36"/>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36"/>
      <c r="BV53" s="36"/>
      <c r="BW53" s="36"/>
      <c r="BX53" s="36"/>
      <c r="BY53" s="36"/>
      <c r="BZ53" s="36"/>
      <c r="CA53" s="36"/>
      <c r="CB53" s="36"/>
      <c r="CC53" s="36"/>
      <c r="CD53" s="36"/>
      <c r="CE53" s="36"/>
      <c r="CF53" s="36"/>
      <c r="CG53" s="36"/>
      <c r="CH53" s="36"/>
      <c r="CI53" s="36"/>
      <c r="CJ53" s="36"/>
    </row>
    <row r="54" spans="3:88" ht="15" customHeight="1" x14ac:dyDescent="0.3">
      <c r="C54" s="4">
        <f>C52+1</f>
        <v>11</v>
      </c>
      <c r="F54" s="227"/>
      <c r="G54" s="227"/>
      <c r="H54" s="227"/>
      <c r="K54" s="228"/>
      <c r="L54" s="228"/>
      <c r="M54" s="228"/>
      <c r="N54" s="229" t="str">
        <f>IF($AQ$19=0,"Units?",IF($AQ$19=1,"ac",IF($AQ$19=2,"sq-ft","Error")))</f>
        <v>Units?</v>
      </c>
      <c r="O54" s="229"/>
      <c r="R54" s="228"/>
      <c r="S54" s="228"/>
      <c r="T54" s="228"/>
      <c r="U54" s="229" t="str">
        <f>IF($AQ$19=0,"Units?",IF($AQ$19=1,"ac",IF($AQ$19=2,"sq-ft","Error")))</f>
        <v>Units?</v>
      </c>
      <c r="V54" s="229"/>
      <c r="Y54" s="230">
        <f>IF(ISERR(R54/K54),0,R54/K54)*100</f>
        <v>0</v>
      </c>
      <c r="Z54" s="230"/>
      <c r="AA54" s="230"/>
      <c r="AB54" s="40" t="s">
        <v>507</v>
      </c>
      <c r="AE54" s="77"/>
      <c r="AF54" s="40" t="s">
        <v>130</v>
      </c>
      <c r="AH54" s="77"/>
      <c r="AI54" s="40" t="s">
        <v>131</v>
      </c>
      <c r="AM54" s="128">
        <f>IF(OR(C54&lt;=$AH$21,C54&lt;=$AH$23),2,1)</f>
        <v>1</v>
      </c>
      <c r="AN54" s="128">
        <f>IF(ISBLANK(F54),1,2)</f>
        <v>1</v>
      </c>
      <c r="AP54" s="128">
        <f>IF(AND(ISBLANK(AE54),ISBLANK(AH54)),0,1)</f>
        <v>0</v>
      </c>
      <c r="AQ54" s="128">
        <f>IF(ISBLANK(AE54),1,IF(ISBLANK(AH54),2,3))</f>
        <v>1</v>
      </c>
      <c r="AR54" s="36"/>
      <c r="AS54" s="25"/>
      <c r="AT54" s="15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36"/>
      <c r="BV54" s="36"/>
      <c r="BW54" s="36"/>
      <c r="BX54" s="36"/>
      <c r="BY54" s="36"/>
      <c r="BZ54" s="36"/>
      <c r="CA54" s="36"/>
      <c r="CB54" s="36"/>
      <c r="CC54" s="36"/>
      <c r="CD54" s="36"/>
      <c r="CE54" s="36"/>
      <c r="CF54" s="36"/>
      <c r="CG54" s="36"/>
      <c r="CH54" s="36"/>
      <c r="CI54" s="36"/>
      <c r="CJ54" s="36"/>
    </row>
    <row r="55" spans="3:88" ht="4.95" customHeight="1" x14ac:dyDescent="0.3">
      <c r="C55" s="4"/>
      <c r="F55" s="53"/>
      <c r="G55" s="53"/>
      <c r="K55" s="162"/>
      <c r="L55" s="162"/>
      <c r="M55" s="162"/>
      <c r="N55" s="13"/>
      <c r="O55" s="13"/>
      <c r="R55" s="162"/>
      <c r="S55" s="162"/>
      <c r="T55" s="162"/>
      <c r="U55" s="13"/>
      <c r="V55" s="13"/>
      <c r="Y55" s="163"/>
      <c r="Z55" s="163"/>
      <c r="AA55" s="163"/>
      <c r="AE55" s="164"/>
      <c r="AH55" s="164"/>
      <c r="AM55" s="165"/>
      <c r="AN55" s="165"/>
      <c r="AR55" s="36"/>
      <c r="AS55" s="25"/>
      <c r="AT55" s="15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36"/>
      <c r="BV55" s="36"/>
      <c r="BW55" s="36"/>
      <c r="BX55" s="36"/>
      <c r="BY55" s="36"/>
      <c r="BZ55" s="36"/>
      <c r="CA55" s="36"/>
      <c r="CB55" s="36"/>
      <c r="CC55" s="36"/>
      <c r="CD55" s="36"/>
      <c r="CE55" s="36"/>
      <c r="CF55" s="36"/>
      <c r="CG55" s="36"/>
      <c r="CH55" s="36"/>
      <c r="CI55" s="36"/>
      <c r="CJ55" s="36"/>
    </row>
    <row r="56" spans="3:88" ht="15" customHeight="1" x14ac:dyDescent="0.3">
      <c r="C56" s="4">
        <f>C54+1</f>
        <v>12</v>
      </c>
      <c r="F56" s="227"/>
      <c r="G56" s="227"/>
      <c r="H56" s="227"/>
      <c r="K56" s="228"/>
      <c r="L56" s="228"/>
      <c r="M56" s="228"/>
      <c r="N56" s="229" t="str">
        <f>IF($AQ$19=0,"Units?",IF($AQ$19=1,"ac",IF($AQ$19=2,"sq-ft","Error")))</f>
        <v>Units?</v>
      </c>
      <c r="O56" s="229"/>
      <c r="R56" s="228"/>
      <c r="S56" s="228"/>
      <c r="T56" s="228"/>
      <c r="U56" s="229" t="str">
        <f>IF($AQ$19=0,"Units?",IF($AQ$19=1,"ac",IF($AQ$19=2,"sq-ft","Error")))</f>
        <v>Units?</v>
      </c>
      <c r="V56" s="229"/>
      <c r="Y56" s="230">
        <f>IF(ISERR(R56/K56),0,R56/K56)*100</f>
        <v>0</v>
      </c>
      <c r="Z56" s="230"/>
      <c r="AA56" s="230"/>
      <c r="AB56" s="40" t="s">
        <v>507</v>
      </c>
      <c r="AE56" s="77"/>
      <c r="AF56" s="40" t="s">
        <v>130</v>
      </c>
      <c r="AH56" s="77"/>
      <c r="AI56" s="40" t="s">
        <v>131</v>
      </c>
      <c r="AM56" s="128">
        <f>IF(OR(C56&lt;=$AH$21,C56&lt;=$AH$23),2,1)</f>
        <v>1</v>
      </c>
      <c r="AN56" s="128">
        <f>IF(ISBLANK(F56),1,2)</f>
        <v>1</v>
      </c>
      <c r="AP56" s="128">
        <f>IF(AND(ISBLANK(AE56),ISBLANK(AH56)),0,1)</f>
        <v>0</v>
      </c>
      <c r="AQ56" s="128">
        <f>IF(ISBLANK(AE56),1,IF(ISBLANK(AH56),2,3))</f>
        <v>1</v>
      </c>
      <c r="AR56" s="36"/>
      <c r="AS56" s="25"/>
      <c r="AT56" s="15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36"/>
      <c r="BV56" s="36"/>
      <c r="BW56" s="36"/>
      <c r="BX56" s="36"/>
      <c r="BY56" s="36"/>
      <c r="BZ56" s="36"/>
      <c r="CA56" s="36"/>
      <c r="CB56" s="36"/>
      <c r="CC56" s="36"/>
      <c r="CD56" s="36"/>
      <c r="CE56" s="36"/>
      <c r="CF56" s="36"/>
      <c r="CG56" s="36"/>
      <c r="CH56" s="36"/>
      <c r="CI56" s="36"/>
      <c r="CJ56" s="36"/>
    </row>
    <row r="57" spans="3:88" ht="4.95" customHeight="1" x14ac:dyDescent="0.3">
      <c r="C57" s="4"/>
      <c r="F57" s="53"/>
      <c r="G57" s="53"/>
      <c r="K57" s="162"/>
      <c r="L57" s="162"/>
      <c r="M57" s="162"/>
      <c r="N57" s="13"/>
      <c r="O57" s="13"/>
      <c r="R57" s="162"/>
      <c r="S57" s="162"/>
      <c r="T57" s="162"/>
      <c r="U57" s="13"/>
      <c r="V57" s="13"/>
      <c r="Y57" s="163"/>
      <c r="Z57" s="163"/>
      <c r="AA57" s="163"/>
      <c r="AE57" s="164"/>
      <c r="AH57" s="164"/>
      <c r="AM57" s="165"/>
      <c r="AN57" s="165"/>
      <c r="AR57" s="36"/>
      <c r="AS57" s="25"/>
      <c r="AT57" s="15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36"/>
      <c r="BV57" s="36"/>
      <c r="BW57" s="36"/>
      <c r="BX57" s="36"/>
      <c r="BY57" s="36"/>
      <c r="BZ57" s="36"/>
      <c r="CA57" s="36"/>
      <c r="CB57" s="36"/>
      <c r="CC57" s="36"/>
      <c r="CD57" s="36"/>
      <c r="CE57" s="36"/>
      <c r="CF57" s="36"/>
      <c r="CG57" s="36"/>
      <c r="CH57" s="36"/>
      <c r="CI57" s="36"/>
      <c r="CJ57" s="36"/>
    </row>
    <row r="58" spans="3:88" ht="15" customHeight="1" x14ac:dyDescent="0.3">
      <c r="C58" s="4">
        <f>C56+1</f>
        <v>13</v>
      </c>
      <c r="F58" s="227"/>
      <c r="G58" s="227"/>
      <c r="H58" s="227"/>
      <c r="K58" s="228"/>
      <c r="L58" s="228"/>
      <c r="M58" s="228"/>
      <c r="N58" s="229" t="str">
        <f>IF($AQ$19=0,"Units?",IF($AQ$19=1,"ac",IF($AQ$19=2,"sq-ft","Error")))</f>
        <v>Units?</v>
      </c>
      <c r="O58" s="229"/>
      <c r="R58" s="228"/>
      <c r="S58" s="228"/>
      <c r="T58" s="228"/>
      <c r="U58" s="229" t="str">
        <f>IF($AQ$19=0,"Units?",IF($AQ$19=1,"ac",IF($AQ$19=2,"sq-ft","Error")))</f>
        <v>Units?</v>
      </c>
      <c r="V58" s="229"/>
      <c r="Y58" s="230">
        <f>IF(ISERR(R58/K58),0,R58/K58)*100</f>
        <v>0</v>
      </c>
      <c r="Z58" s="230"/>
      <c r="AA58" s="230"/>
      <c r="AB58" s="40" t="s">
        <v>507</v>
      </c>
      <c r="AE58" s="77"/>
      <c r="AF58" s="40" t="s">
        <v>130</v>
      </c>
      <c r="AH58" s="77"/>
      <c r="AI58" s="40" t="s">
        <v>131</v>
      </c>
      <c r="AM58" s="128">
        <f>IF(OR(C58&lt;=$AH$21,C58&lt;=$AH$23),2,1)</f>
        <v>1</v>
      </c>
      <c r="AN58" s="128">
        <f>IF(ISBLANK(F58),1,2)</f>
        <v>1</v>
      </c>
      <c r="AP58" s="128">
        <f>IF(AND(ISBLANK(AE58),ISBLANK(AH58)),0,1)</f>
        <v>0</v>
      </c>
      <c r="AQ58" s="128">
        <f>IF(ISBLANK(AE58),1,IF(ISBLANK(AH58),2,3))</f>
        <v>1</v>
      </c>
      <c r="AR58" s="36"/>
      <c r="AS58" s="25"/>
      <c r="AT58" s="15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36"/>
      <c r="BV58" s="36"/>
      <c r="BW58" s="36"/>
      <c r="BX58" s="36"/>
      <c r="BY58" s="36"/>
      <c r="BZ58" s="36"/>
      <c r="CA58" s="36"/>
      <c r="CB58" s="36"/>
      <c r="CC58" s="36"/>
      <c r="CD58" s="36"/>
      <c r="CE58" s="36"/>
      <c r="CF58" s="36"/>
      <c r="CG58" s="36"/>
      <c r="CH58" s="36"/>
      <c r="CI58" s="36"/>
      <c r="CJ58" s="36"/>
    </row>
    <row r="59" spans="3:88" ht="4.95" customHeight="1" x14ac:dyDescent="0.3">
      <c r="C59" s="4"/>
      <c r="F59" s="53"/>
      <c r="G59" s="53"/>
      <c r="K59" s="162"/>
      <c r="L59" s="162"/>
      <c r="M59" s="162"/>
      <c r="N59" s="13"/>
      <c r="O59" s="13"/>
      <c r="R59" s="162"/>
      <c r="S59" s="162"/>
      <c r="T59" s="162"/>
      <c r="U59" s="13"/>
      <c r="V59" s="13"/>
      <c r="Y59" s="163"/>
      <c r="Z59" s="163"/>
      <c r="AA59" s="163"/>
      <c r="AE59" s="164"/>
      <c r="AH59" s="164"/>
      <c r="AM59" s="165"/>
      <c r="AN59" s="165"/>
      <c r="AR59" s="36"/>
      <c r="AS59" s="25"/>
      <c r="AT59" s="15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36"/>
      <c r="BV59" s="36"/>
      <c r="BW59" s="36"/>
      <c r="BX59" s="36"/>
      <c r="BY59" s="36"/>
      <c r="BZ59" s="36"/>
      <c r="CA59" s="36"/>
      <c r="CB59" s="36"/>
      <c r="CC59" s="36"/>
      <c r="CD59" s="36"/>
      <c r="CE59" s="36"/>
      <c r="CF59" s="36"/>
      <c r="CG59" s="36"/>
      <c r="CH59" s="36"/>
      <c r="CI59" s="36"/>
      <c r="CJ59" s="36"/>
    </row>
    <row r="60" spans="3:88" ht="15" customHeight="1" x14ac:dyDescent="0.3">
      <c r="C60" s="4">
        <f>C58+1</f>
        <v>14</v>
      </c>
      <c r="F60" s="227"/>
      <c r="G60" s="227"/>
      <c r="H60" s="227"/>
      <c r="K60" s="228"/>
      <c r="L60" s="228"/>
      <c r="M60" s="228"/>
      <c r="N60" s="229" t="str">
        <f>IF($AQ$19=0,"Units?",IF($AQ$19=1,"ac",IF($AQ$19=2,"sq-ft","Error")))</f>
        <v>Units?</v>
      </c>
      <c r="O60" s="229"/>
      <c r="R60" s="228"/>
      <c r="S60" s="228"/>
      <c r="T60" s="228"/>
      <c r="U60" s="229" t="str">
        <f>IF($AQ$19=0,"Units?",IF($AQ$19=1,"ac",IF($AQ$19=2,"sq-ft","Error")))</f>
        <v>Units?</v>
      </c>
      <c r="V60" s="229"/>
      <c r="Y60" s="230">
        <f>IF(ISERR(R60/K60),0,R60/K60)*100</f>
        <v>0</v>
      </c>
      <c r="Z60" s="230"/>
      <c r="AA60" s="230"/>
      <c r="AB60" s="40" t="s">
        <v>507</v>
      </c>
      <c r="AE60" s="77"/>
      <c r="AF60" s="40" t="s">
        <v>130</v>
      </c>
      <c r="AH60" s="77"/>
      <c r="AI60" s="40" t="s">
        <v>131</v>
      </c>
      <c r="AM60" s="128">
        <f>IF(OR(C60&lt;=$AH$21,C60&lt;=$AH$23),2,1)</f>
        <v>1</v>
      </c>
      <c r="AN60" s="128">
        <f>IF(ISBLANK(F60),1,2)</f>
        <v>1</v>
      </c>
      <c r="AP60" s="128">
        <f>IF(AND(ISBLANK(AE60),ISBLANK(AH60)),0,1)</f>
        <v>0</v>
      </c>
      <c r="AQ60" s="128">
        <f>IF(ISBLANK(AE60),1,IF(ISBLANK(AH60),2,3))</f>
        <v>1</v>
      </c>
      <c r="AR60" s="36"/>
      <c r="AS60" s="25"/>
      <c r="AT60" s="15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36"/>
      <c r="BV60" s="36"/>
      <c r="BW60" s="36"/>
      <c r="BX60" s="36"/>
      <c r="BY60" s="36"/>
      <c r="BZ60" s="36"/>
      <c r="CA60" s="36"/>
      <c r="CB60" s="36"/>
      <c r="CC60" s="36"/>
      <c r="CD60" s="36"/>
      <c r="CE60" s="36"/>
      <c r="CF60" s="36"/>
      <c r="CG60" s="36"/>
      <c r="CH60" s="36"/>
      <c r="CI60" s="36"/>
      <c r="CJ60" s="36"/>
    </row>
    <row r="61" spans="3:88" ht="4.95" customHeight="1" x14ac:dyDescent="0.3">
      <c r="C61" s="4"/>
      <c r="F61" s="53"/>
      <c r="G61" s="53"/>
      <c r="K61" s="162"/>
      <c r="L61" s="162"/>
      <c r="M61" s="162"/>
      <c r="N61" s="13"/>
      <c r="O61" s="13"/>
      <c r="R61" s="162"/>
      <c r="S61" s="162"/>
      <c r="T61" s="162"/>
      <c r="U61" s="13"/>
      <c r="V61" s="13"/>
      <c r="Y61" s="163"/>
      <c r="Z61" s="163"/>
      <c r="AA61" s="163"/>
      <c r="AE61" s="164"/>
      <c r="AH61" s="164"/>
      <c r="AM61" s="165"/>
      <c r="AN61" s="165"/>
      <c r="AR61" s="36"/>
      <c r="AS61" s="25"/>
      <c r="AT61" s="15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36"/>
      <c r="BV61" s="36"/>
      <c r="BW61" s="36"/>
      <c r="BX61" s="36"/>
      <c r="BY61" s="36"/>
      <c r="BZ61" s="36"/>
      <c r="CA61" s="36"/>
      <c r="CB61" s="36"/>
      <c r="CC61" s="36"/>
      <c r="CD61" s="36"/>
      <c r="CE61" s="36"/>
      <c r="CF61" s="36"/>
      <c r="CG61" s="36"/>
      <c r="CH61" s="36"/>
      <c r="CI61" s="36"/>
      <c r="CJ61" s="36"/>
    </row>
    <row r="62" spans="3:88" ht="15" customHeight="1" x14ac:dyDescent="0.3">
      <c r="C62" s="4">
        <f t="shared" ref="C62" si="0">C60+1</f>
        <v>15</v>
      </c>
      <c r="F62" s="227"/>
      <c r="G62" s="227"/>
      <c r="H62" s="227"/>
      <c r="K62" s="228"/>
      <c r="L62" s="228"/>
      <c r="M62" s="228"/>
      <c r="N62" s="229" t="str">
        <f>IF($AQ$19=0,"Units?",IF($AQ$19=1,"ac",IF($AQ$19=2,"sq-ft","Error")))</f>
        <v>Units?</v>
      </c>
      <c r="O62" s="229"/>
      <c r="R62" s="228"/>
      <c r="S62" s="228"/>
      <c r="T62" s="228"/>
      <c r="U62" s="229" t="str">
        <f>IF($AQ$19=0,"Units?",IF($AQ$19=1,"ac",IF($AQ$19=2,"sq-ft","Error")))</f>
        <v>Units?</v>
      </c>
      <c r="V62" s="229"/>
      <c r="Y62" s="230">
        <f>IF(ISERR(R62/K62),0,R62/K62)*100</f>
        <v>0</v>
      </c>
      <c r="Z62" s="230"/>
      <c r="AA62" s="230"/>
      <c r="AB62" s="40" t="s">
        <v>507</v>
      </c>
      <c r="AE62" s="77"/>
      <c r="AF62" s="40" t="s">
        <v>130</v>
      </c>
      <c r="AH62" s="77"/>
      <c r="AI62" s="40" t="s">
        <v>131</v>
      </c>
      <c r="AM62" s="128">
        <f>IF(OR(C62&lt;=$AH$21,C62&lt;=$AH$23),2,1)</f>
        <v>1</v>
      </c>
      <c r="AN62" s="128">
        <f>IF(ISBLANK(F62),1,2)</f>
        <v>1</v>
      </c>
      <c r="AP62" s="128">
        <f>IF(AND(ISBLANK(AE62),ISBLANK(AH62)),0,1)</f>
        <v>0</v>
      </c>
      <c r="AQ62" s="128">
        <f>IF(ISBLANK(AE62),1,IF(ISBLANK(AH62),2,3))</f>
        <v>1</v>
      </c>
      <c r="AR62" s="36"/>
      <c r="AS62" s="25"/>
      <c r="AT62" s="15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36"/>
      <c r="BV62" s="36"/>
      <c r="BW62" s="36"/>
      <c r="BX62" s="36"/>
      <c r="BY62" s="36"/>
      <c r="BZ62" s="36"/>
      <c r="CA62" s="36"/>
      <c r="CB62" s="36"/>
      <c r="CC62" s="36"/>
      <c r="CD62" s="36"/>
      <c r="CE62" s="36"/>
      <c r="CF62" s="36"/>
      <c r="CG62" s="36"/>
      <c r="CH62" s="36"/>
      <c r="CI62" s="36"/>
      <c r="CJ62" s="36"/>
    </row>
    <row r="63" spans="3:88" ht="4.95" customHeight="1" x14ac:dyDescent="0.3">
      <c r="AR63" s="36"/>
      <c r="AS63" s="25"/>
      <c r="AT63" s="15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36"/>
      <c r="BV63" s="36"/>
      <c r="BW63" s="36"/>
      <c r="BX63" s="36"/>
      <c r="BY63" s="36"/>
      <c r="BZ63" s="36"/>
      <c r="CA63" s="36"/>
      <c r="CB63" s="36"/>
      <c r="CC63" s="36"/>
      <c r="CD63" s="36"/>
      <c r="CE63" s="36"/>
      <c r="CF63" s="36"/>
      <c r="CG63" s="36"/>
      <c r="CH63" s="36"/>
      <c r="CI63" s="36"/>
      <c r="CJ63" s="36"/>
    </row>
    <row r="64" spans="3:88" ht="15" customHeight="1" x14ac:dyDescent="0.3">
      <c r="J64" s="2" t="s">
        <v>508</v>
      </c>
      <c r="K64" s="231">
        <f>SUM(K34:M62)</f>
        <v>0</v>
      </c>
      <c r="L64" s="231"/>
      <c r="M64" s="231"/>
      <c r="N64" s="229" t="str">
        <f>IF($AQ$19=0,"Units?",IF($AQ$19=1,"ac",IF($AQ$19=2,"sq-ft","Error")))</f>
        <v>Units?</v>
      </c>
      <c r="O64" s="229"/>
      <c r="Q64" s="2" t="s">
        <v>508</v>
      </c>
      <c r="R64" s="232">
        <f>IF(ISERR(SUM(R34:T62)),0,SUM(R34:T62))</f>
        <v>0</v>
      </c>
      <c r="S64" s="232"/>
      <c r="T64" s="232"/>
      <c r="U64" s="229" t="str">
        <f>IF($AQ$19=0,"Units?",IF($AQ$19=1,"ac",IF($AQ$19=2,"sq-ft","Error")))</f>
        <v>Units?</v>
      </c>
      <c r="V64" s="229"/>
      <c r="X64" s="2" t="s">
        <v>508</v>
      </c>
      <c r="Y64" s="230">
        <f>IF(ISERR(R64/K64),0,R64/K64)*100</f>
        <v>0</v>
      </c>
      <c r="Z64" s="230"/>
      <c r="AA64" s="230"/>
      <c r="AB64" s="40" t="s">
        <v>507</v>
      </c>
      <c r="AR64" s="36"/>
      <c r="AS64" s="25"/>
      <c r="AT64" s="15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36"/>
      <c r="BV64" s="36"/>
      <c r="BW64" s="36"/>
      <c r="BX64" s="36"/>
      <c r="BY64" s="36"/>
      <c r="BZ64" s="36"/>
      <c r="CA64" s="36"/>
      <c r="CB64" s="36"/>
      <c r="CC64" s="36"/>
      <c r="CD64" s="36"/>
      <c r="CE64" s="36"/>
      <c r="CF64" s="36"/>
      <c r="CG64" s="36"/>
      <c r="CH64" s="36"/>
      <c r="CI64" s="36"/>
      <c r="CJ64" s="36"/>
    </row>
    <row r="65" spans="2:88" ht="15" customHeight="1" x14ac:dyDescent="0.3">
      <c r="AR65" s="36"/>
      <c r="AS65" s="25"/>
      <c r="AT65" s="15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36"/>
      <c r="BV65" s="36"/>
      <c r="BW65" s="36"/>
      <c r="BX65" s="36"/>
      <c r="BY65" s="36"/>
      <c r="BZ65" s="36"/>
      <c r="CA65" s="36"/>
      <c r="CB65" s="36"/>
      <c r="CC65" s="36"/>
      <c r="CD65" s="36"/>
      <c r="CE65" s="36"/>
      <c r="CF65" s="36"/>
      <c r="CG65" s="36"/>
      <c r="CH65" s="36"/>
      <c r="CI65" s="36"/>
      <c r="CJ65" s="36"/>
    </row>
    <row r="66" spans="2:88" ht="15" customHeight="1" x14ac:dyDescent="0.3">
      <c r="AR66" s="36"/>
      <c r="AS66" s="25"/>
      <c r="AT66" s="15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36"/>
      <c r="BV66" s="36"/>
      <c r="BW66" s="36"/>
      <c r="BX66" s="36"/>
      <c r="BY66" s="36"/>
      <c r="BZ66" s="36"/>
      <c r="CA66" s="36"/>
      <c r="CB66" s="36"/>
      <c r="CC66" s="36"/>
      <c r="CD66" s="36"/>
      <c r="CE66" s="36"/>
      <c r="CF66" s="36"/>
      <c r="CG66" s="36"/>
      <c r="CH66" s="36"/>
      <c r="CI66" s="36"/>
      <c r="CJ66" s="36"/>
    </row>
    <row r="67" spans="2:88" ht="15" customHeight="1" x14ac:dyDescent="0.3">
      <c r="B67" s="216">
        <f>Tables!$C$13</f>
        <v>45383</v>
      </c>
      <c r="C67" s="216"/>
      <c r="D67" s="216"/>
      <c r="E67" s="216"/>
      <c r="F67" s="216"/>
      <c r="G67" s="216"/>
      <c r="H67" s="216"/>
      <c r="R67" s="184" t="s">
        <v>509</v>
      </c>
      <c r="S67" s="184"/>
      <c r="T67" s="184"/>
      <c r="U67" s="184"/>
      <c r="AR67" s="36"/>
      <c r="AS67" s="25"/>
      <c r="AT67" s="15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36"/>
      <c r="BV67" s="36"/>
      <c r="BW67" s="36"/>
      <c r="BX67" s="36"/>
      <c r="BY67" s="36"/>
      <c r="BZ67" s="36"/>
      <c r="CA67" s="36"/>
      <c r="CB67" s="36"/>
      <c r="CC67" s="36"/>
      <c r="CD67" s="36"/>
      <c r="CE67" s="36"/>
      <c r="CF67" s="36"/>
      <c r="CG67" s="36"/>
      <c r="CH67" s="36"/>
      <c r="CI67" s="36"/>
      <c r="CJ67" s="36"/>
    </row>
    <row r="68" spans="2:88" ht="15" customHeight="1" x14ac:dyDescent="0.3">
      <c r="B68" s="126"/>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R68" s="36"/>
      <c r="AS68" s="25"/>
      <c r="AT68" s="15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36"/>
      <c r="BV68" s="36"/>
      <c r="BW68" s="36"/>
      <c r="BX68" s="36"/>
      <c r="BY68" s="36"/>
      <c r="BZ68" s="36"/>
      <c r="CA68" s="36"/>
      <c r="CB68" s="36"/>
      <c r="CC68" s="36"/>
      <c r="CD68" s="36"/>
      <c r="CE68" s="36"/>
      <c r="CF68" s="36"/>
      <c r="CG68" s="36"/>
      <c r="CH68" s="36"/>
      <c r="CI68" s="36"/>
      <c r="CJ68" s="36"/>
    </row>
    <row r="69" spans="2:88" ht="15" customHeight="1" x14ac:dyDescent="0.3">
      <c r="C69" s="2" t="s">
        <v>146</v>
      </c>
      <c r="D69" s="187">
        <f>IF(ISBLANK($E$15),0,$E$15)</f>
        <v>0</v>
      </c>
      <c r="E69" s="187"/>
      <c r="F69" s="187"/>
      <c r="G69" s="187"/>
      <c r="H69" s="187"/>
      <c r="I69" s="187"/>
      <c r="J69" s="187"/>
      <c r="K69" s="187"/>
      <c r="L69" s="187"/>
      <c r="M69" s="187"/>
      <c r="N69" s="187"/>
      <c r="O69" s="187"/>
      <c r="P69" s="187"/>
      <c r="Q69" s="187"/>
      <c r="R69" s="187"/>
      <c r="S69" s="187"/>
      <c r="T69" s="187"/>
      <c r="U69" s="187"/>
      <c r="V69" s="187"/>
      <c r="W69" s="187"/>
      <c r="X69" s="187"/>
      <c r="Y69" s="187"/>
      <c r="AD69" s="2" t="s">
        <v>192</v>
      </c>
      <c r="AE69" s="188">
        <f>IF(ISBLANK($AE$15),0,$AE$15)</f>
        <v>0</v>
      </c>
      <c r="AF69" s="188"/>
      <c r="AG69" s="188"/>
      <c r="AH69" s="188"/>
      <c r="AI69" s="188"/>
      <c r="AJ69" s="188"/>
      <c r="AR69" s="36"/>
      <c r="AS69" s="25"/>
      <c r="AT69" s="15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36"/>
      <c r="BV69" s="36"/>
      <c r="BW69" s="36"/>
      <c r="BX69" s="36"/>
      <c r="BY69" s="36"/>
      <c r="BZ69" s="36"/>
      <c r="CA69" s="36"/>
      <c r="CB69" s="36"/>
      <c r="CC69" s="36"/>
      <c r="CD69" s="36"/>
      <c r="CE69" s="36"/>
      <c r="CF69" s="36"/>
      <c r="CG69" s="36"/>
      <c r="CH69" s="36"/>
      <c r="CI69" s="36"/>
      <c r="CJ69" s="36"/>
    </row>
    <row r="70" spans="2:88" ht="15" customHeight="1" x14ac:dyDescent="0.3">
      <c r="B70" s="5"/>
      <c r="AR70" s="36"/>
      <c r="AS70" s="25"/>
      <c r="AT70" s="15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36"/>
      <c r="BV70" s="36"/>
      <c r="BW70" s="36"/>
      <c r="BX70" s="36"/>
      <c r="BY70" s="36"/>
      <c r="BZ70" s="36"/>
      <c r="CA70" s="36"/>
      <c r="CB70" s="36"/>
      <c r="CC70" s="36"/>
      <c r="CD70" s="36"/>
      <c r="CE70" s="36"/>
      <c r="CF70" s="36"/>
      <c r="CG70" s="36"/>
      <c r="CH70" s="36"/>
      <c r="CI70" s="36"/>
      <c r="CJ70" s="36"/>
    </row>
    <row r="71" spans="2:88" ht="15" customHeight="1" x14ac:dyDescent="0.3">
      <c r="B71" s="5" t="s">
        <v>23</v>
      </c>
      <c r="AR71" s="36"/>
      <c r="AS71" s="25"/>
      <c r="AT71" s="15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36"/>
      <c r="BV71" s="36"/>
      <c r="BW71" s="36"/>
      <c r="BX71" s="36"/>
      <c r="BY71" s="36"/>
      <c r="BZ71" s="36"/>
      <c r="CA71" s="36"/>
      <c r="CB71" s="36"/>
      <c r="CC71" s="36"/>
      <c r="CD71" s="36"/>
      <c r="CE71" s="36"/>
      <c r="CF71" s="36"/>
      <c r="CG71" s="36"/>
      <c r="CH71" s="36"/>
      <c r="CI71" s="36"/>
      <c r="CJ71" s="36"/>
    </row>
    <row r="72" spans="2:88" ht="15" customHeight="1" x14ac:dyDescent="0.3">
      <c r="B72" s="192"/>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4"/>
      <c r="AM72" s="128">
        <f>IF(SUM(AO25,AO27,AO29,AO31)&gt;0,2,1)</f>
        <v>1</v>
      </c>
      <c r="AR72" s="36"/>
      <c r="AS72" s="25"/>
      <c r="AT72" s="15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36"/>
      <c r="BV72" s="36"/>
      <c r="BW72" s="36"/>
      <c r="BX72" s="36"/>
      <c r="BY72" s="36"/>
      <c r="BZ72" s="36"/>
      <c r="CA72" s="36"/>
      <c r="CB72" s="36"/>
      <c r="CC72" s="36"/>
      <c r="CD72" s="36"/>
      <c r="CE72" s="36"/>
      <c r="CF72" s="36"/>
      <c r="CG72" s="36"/>
      <c r="CH72" s="36"/>
      <c r="CI72" s="36"/>
      <c r="CJ72" s="36"/>
    </row>
    <row r="73" spans="2:88" ht="15" customHeight="1" x14ac:dyDescent="0.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c r="AR73" s="36"/>
      <c r="AS73" s="25"/>
      <c r="AT73" s="15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36"/>
      <c r="BV73" s="36"/>
      <c r="BW73" s="36"/>
      <c r="BX73" s="36"/>
      <c r="BY73" s="36"/>
      <c r="BZ73" s="36"/>
      <c r="CA73" s="36"/>
      <c r="CB73" s="36"/>
      <c r="CC73" s="36"/>
      <c r="CD73" s="36"/>
      <c r="CE73" s="36"/>
      <c r="CF73" s="36"/>
      <c r="CG73" s="36"/>
      <c r="CH73" s="36"/>
      <c r="CI73" s="36"/>
      <c r="CJ73" s="36"/>
    </row>
    <row r="74" spans="2:88" ht="15" customHeight="1" x14ac:dyDescent="0.3">
      <c r="B74" s="195"/>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7"/>
      <c r="AR74" s="36"/>
      <c r="AS74" s="25"/>
      <c r="AT74" s="15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36"/>
      <c r="BV74" s="36"/>
      <c r="BW74" s="36"/>
      <c r="BX74" s="36"/>
      <c r="BY74" s="36"/>
      <c r="BZ74" s="36"/>
      <c r="CA74" s="36"/>
      <c r="CB74" s="36"/>
      <c r="CC74" s="36"/>
      <c r="CD74" s="36"/>
      <c r="CE74" s="36"/>
      <c r="CF74" s="36"/>
      <c r="CG74" s="36"/>
      <c r="CH74" s="36"/>
      <c r="CI74" s="36"/>
      <c r="CJ74" s="36"/>
    </row>
    <row r="75" spans="2:88" ht="15" customHeight="1" x14ac:dyDescent="0.3">
      <c r="B75" s="195"/>
      <c r="C75" s="196"/>
      <c r="D75" s="196"/>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7"/>
      <c r="AR75" s="36"/>
      <c r="AS75" s="25"/>
      <c r="AT75" s="15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36"/>
      <c r="BV75" s="36"/>
      <c r="BW75" s="36"/>
      <c r="BX75" s="36"/>
      <c r="BY75" s="36"/>
      <c r="BZ75" s="36"/>
      <c r="CA75" s="36"/>
      <c r="CB75" s="36"/>
      <c r="CC75" s="36"/>
      <c r="CD75" s="36"/>
      <c r="CE75" s="36"/>
      <c r="CF75" s="36"/>
      <c r="CG75" s="36"/>
      <c r="CH75" s="36"/>
      <c r="CI75" s="36"/>
      <c r="CJ75" s="36"/>
    </row>
    <row r="76" spans="2:88" ht="15" customHeight="1" x14ac:dyDescent="0.3">
      <c r="B76" s="195"/>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7"/>
      <c r="AR76" s="36"/>
      <c r="AS76" s="25"/>
      <c r="AT76" s="15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36"/>
      <c r="BV76" s="36"/>
      <c r="BW76" s="36"/>
      <c r="BX76" s="36"/>
      <c r="BY76" s="36"/>
      <c r="BZ76" s="36"/>
      <c r="CA76" s="36"/>
      <c r="CB76" s="36"/>
      <c r="CC76" s="36"/>
      <c r="CD76" s="36"/>
      <c r="CE76" s="36"/>
      <c r="CF76" s="36"/>
      <c r="CG76" s="36"/>
      <c r="CH76" s="36"/>
      <c r="CI76" s="36"/>
      <c r="CJ76" s="36"/>
    </row>
    <row r="77" spans="2:88" ht="15" customHeight="1" x14ac:dyDescent="0.3">
      <c r="B77" s="198"/>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200"/>
      <c r="AR77" s="36"/>
      <c r="AS77" s="25"/>
      <c r="AT77" s="15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36"/>
      <c r="BV77" s="36"/>
      <c r="BW77" s="36"/>
      <c r="BX77" s="36"/>
      <c r="BY77" s="36"/>
      <c r="BZ77" s="36"/>
      <c r="CA77" s="36"/>
      <c r="CB77" s="36"/>
      <c r="CC77" s="36"/>
      <c r="CD77" s="36"/>
      <c r="CE77" s="36"/>
      <c r="CF77" s="36"/>
      <c r="CG77" s="36"/>
      <c r="CH77" s="36"/>
      <c r="CI77" s="36"/>
      <c r="CJ77" s="36"/>
    </row>
    <row r="78" spans="2:88" ht="15" customHeight="1" x14ac:dyDescent="0.3">
      <c r="B78" s="5"/>
      <c r="AR78" s="36"/>
      <c r="AS78" s="25"/>
      <c r="AT78" s="15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36"/>
      <c r="BV78" s="36"/>
      <c r="BW78" s="36"/>
      <c r="BX78" s="36"/>
      <c r="BY78" s="36"/>
      <c r="BZ78" s="36"/>
      <c r="CA78" s="36"/>
      <c r="CB78" s="36"/>
      <c r="CC78" s="36"/>
      <c r="CD78" s="36"/>
      <c r="CE78" s="36"/>
      <c r="CF78" s="36"/>
      <c r="CG78" s="36"/>
      <c r="CH78" s="36"/>
      <c r="CI78" s="36"/>
      <c r="CJ78" s="36"/>
    </row>
    <row r="79" spans="2:88" ht="15" customHeight="1" x14ac:dyDescent="0.3">
      <c r="B79" s="1" t="s">
        <v>19</v>
      </c>
      <c r="C79" s="1"/>
      <c r="D79" s="1"/>
      <c r="AR79" s="36"/>
      <c r="AS79" s="36"/>
      <c r="AT79" s="159"/>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row>
    <row r="80" spans="2:88" ht="4.95" customHeight="1" x14ac:dyDescent="0.3">
      <c r="B80" s="1"/>
      <c r="C80" s="1"/>
      <c r="D80" s="1"/>
      <c r="AR80" s="36"/>
      <c r="AS80" s="36"/>
      <c r="AT80" s="159"/>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row>
    <row r="81" spans="2:88" ht="15" customHeight="1" x14ac:dyDescent="0.3">
      <c r="B81" s="108" t="s">
        <v>513</v>
      </c>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R81" s="36"/>
      <c r="AS81" s="36"/>
      <c r="AT81" s="159"/>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row>
    <row r="82" spans="2:88" ht="15" customHeight="1" x14ac:dyDescent="0.3">
      <c r="B82" s="108" t="s">
        <v>514</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R82" s="36"/>
      <c r="AS82" s="36"/>
      <c r="AT82" s="159"/>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row>
    <row r="83" spans="2:88" ht="15" customHeight="1" x14ac:dyDescent="0.3">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R83" s="36"/>
      <c r="AS83" s="36"/>
      <c r="AT83" s="159"/>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row>
    <row r="84" spans="2:88" ht="15" customHeight="1" x14ac:dyDescent="0.3">
      <c r="D84" s="2" t="s">
        <v>206</v>
      </c>
      <c r="E84" s="205"/>
      <c r="F84" s="205"/>
      <c r="G84" s="205"/>
      <c r="H84" s="205"/>
      <c r="I84" s="205"/>
      <c r="J84" s="205"/>
      <c r="K84" s="205"/>
      <c r="L84" s="205"/>
      <c r="M84" s="205"/>
      <c r="N84" s="205"/>
      <c r="O84" s="205"/>
      <c r="P84" s="205"/>
      <c r="Q84" s="205"/>
      <c r="R84" s="205"/>
      <c r="S84" s="205"/>
      <c r="T84" s="205"/>
      <c r="U84" s="205"/>
      <c r="V84" s="205"/>
      <c r="W84" s="205"/>
      <c r="X84" s="205"/>
      <c r="Y84" s="205"/>
      <c r="AB84" s="2" t="s">
        <v>433</v>
      </c>
      <c r="AC84" s="2"/>
      <c r="AD84" s="2"/>
      <c r="AE84" s="2"/>
      <c r="AR84" s="36"/>
      <c r="AS84" s="36"/>
      <c r="AT84" s="159"/>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row>
    <row r="85" spans="2:88" ht="15" customHeight="1" x14ac:dyDescent="0.3">
      <c r="D85" s="2" t="s">
        <v>146</v>
      </c>
      <c r="E85" s="207"/>
      <c r="F85" s="207"/>
      <c r="G85" s="207"/>
      <c r="H85" s="207"/>
      <c r="I85" s="207"/>
      <c r="J85" s="207"/>
      <c r="K85" s="207"/>
      <c r="L85" s="207"/>
      <c r="M85" s="207"/>
      <c r="N85" s="207"/>
      <c r="O85" s="207"/>
      <c r="P85" s="207"/>
      <c r="Q85" s="207"/>
      <c r="R85" s="207"/>
      <c r="S85" s="207"/>
      <c r="T85" s="207"/>
      <c r="U85" s="207"/>
      <c r="V85" s="207"/>
      <c r="W85" s="207"/>
      <c r="X85" s="207"/>
      <c r="Y85" s="207"/>
      <c r="AR85" s="36"/>
      <c r="AS85" s="36"/>
      <c r="AT85" s="159"/>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row>
    <row r="86" spans="2:88" ht="15" customHeight="1" x14ac:dyDescent="0.3">
      <c r="D86" s="2" t="s">
        <v>147</v>
      </c>
      <c r="E86" s="207"/>
      <c r="F86" s="207"/>
      <c r="G86" s="207"/>
      <c r="H86" s="207"/>
      <c r="I86" s="207"/>
      <c r="J86" s="207"/>
      <c r="K86" s="207"/>
      <c r="L86" s="207"/>
      <c r="M86" s="207"/>
      <c r="N86" s="207"/>
      <c r="O86" s="207"/>
      <c r="P86" s="207"/>
      <c r="Q86" s="207"/>
      <c r="R86" s="207"/>
      <c r="S86" s="207"/>
      <c r="T86" s="207"/>
      <c r="U86" s="207"/>
      <c r="V86" s="207"/>
      <c r="W86" s="207"/>
      <c r="X86" s="207"/>
      <c r="Y86" s="207"/>
      <c r="AR86" s="36"/>
      <c r="AS86" s="36"/>
      <c r="AT86" s="159"/>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row>
    <row r="87" spans="2:88" ht="15" customHeight="1" x14ac:dyDescent="0.3">
      <c r="D87" s="2" t="s">
        <v>431</v>
      </c>
      <c r="E87" s="207"/>
      <c r="F87" s="207"/>
      <c r="G87" s="207"/>
      <c r="H87" s="207"/>
      <c r="I87" s="207"/>
      <c r="J87" s="207"/>
      <c r="K87" s="207"/>
      <c r="L87" s="85"/>
      <c r="M87" s="85"/>
      <c r="N87" s="139" t="s">
        <v>150</v>
      </c>
      <c r="O87" s="207"/>
      <c r="P87" s="207"/>
      <c r="Q87" s="207"/>
      <c r="R87" s="207"/>
      <c r="S87" s="85"/>
      <c r="T87" s="85"/>
      <c r="U87" s="85"/>
      <c r="V87" s="139" t="s">
        <v>151</v>
      </c>
      <c r="W87" s="209"/>
      <c r="X87" s="209"/>
      <c r="Y87" s="209"/>
      <c r="AR87" s="36"/>
      <c r="AS87" s="36"/>
      <c r="AT87" s="159"/>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row>
    <row r="88" spans="2:88" ht="15" customHeight="1" x14ac:dyDescent="0.3">
      <c r="C88" s="86"/>
      <c r="D88" s="2" t="s">
        <v>148</v>
      </c>
      <c r="E88" s="217"/>
      <c r="F88" s="217"/>
      <c r="G88" s="217"/>
      <c r="H88" s="217"/>
      <c r="I88" s="217"/>
      <c r="J88" s="217"/>
      <c r="K88" s="217"/>
      <c r="L88" s="217"/>
      <c r="M88" s="217"/>
      <c r="N88" s="217"/>
      <c r="O88" s="217"/>
      <c r="P88" s="217"/>
      <c r="Q88" s="217"/>
      <c r="R88" s="217"/>
      <c r="S88" s="217"/>
      <c r="T88" s="217"/>
      <c r="U88" s="217"/>
      <c r="V88" s="217"/>
      <c r="W88" s="217"/>
      <c r="X88" s="217"/>
      <c r="Y88" s="217"/>
      <c r="AR88" s="36"/>
      <c r="AS88" s="36"/>
      <c r="AT88" s="159"/>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row>
    <row r="89" spans="2:88" ht="15" customHeight="1" x14ac:dyDescent="0.3">
      <c r="D89" s="2" t="s">
        <v>152</v>
      </c>
      <c r="E89" s="186"/>
      <c r="F89" s="186"/>
      <c r="G89" s="186"/>
      <c r="H89" s="186"/>
      <c r="I89" s="186"/>
      <c r="U89" s="74"/>
      <c r="V89" s="74"/>
      <c r="W89" s="74"/>
      <c r="AR89" s="36"/>
      <c r="AS89" s="36"/>
      <c r="AT89" s="159"/>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row>
    <row r="90" spans="2:88" ht="15" customHeight="1" x14ac:dyDescent="0.3">
      <c r="D90" s="2"/>
      <c r="E90" s="85"/>
      <c r="F90" s="85"/>
      <c r="G90" s="85"/>
      <c r="H90" s="85"/>
      <c r="I90" s="85"/>
      <c r="U90" s="74"/>
      <c r="V90" s="74"/>
      <c r="W90" s="74"/>
      <c r="AR90" s="36"/>
      <c r="AS90" s="36"/>
      <c r="AT90" s="159"/>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row>
    <row r="91" spans="2:88" ht="15" customHeight="1" x14ac:dyDescent="0.3">
      <c r="D91" s="2" t="s">
        <v>207</v>
      </c>
      <c r="E91" s="111"/>
      <c r="F91" s="111"/>
      <c r="G91" s="111"/>
      <c r="H91" s="111"/>
      <c r="I91" s="111"/>
      <c r="J91" s="111"/>
      <c r="K91" s="111"/>
      <c r="L91" s="111"/>
      <c r="M91" s="111"/>
      <c r="N91" s="111"/>
      <c r="O91" s="111"/>
      <c r="P91" s="111"/>
      <c r="Q91" s="111"/>
      <c r="R91" s="111"/>
      <c r="S91" s="111"/>
      <c r="T91" s="111"/>
      <c r="U91" s="74"/>
      <c r="V91" s="74"/>
      <c r="W91" s="74"/>
      <c r="AB91" s="2" t="s">
        <v>192</v>
      </c>
      <c r="AC91" s="208"/>
      <c r="AD91" s="208"/>
      <c r="AE91" s="208"/>
      <c r="AF91" s="208"/>
      <c r="AG91" s="208"/>
      <c r="AR91" s="36"/>
      <c r="AS91" s="36"/>
      <c r="AT91" s="159"/>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row>
    <row r="92" spans="2:88" ht="15" customHeight="1" x14ac:dyDescent="0.3">
      <c r="AR92" s="36"/>
      <c r="AS92" s="36"/>
      <c r="AT92" s="159"/>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row>
    <row r="93" spans="2:88" ht="15" customHeight="1" x14ac:dyDescent="0.3">
      <c r="AR93" s="36"/>
      <c r="AS93" s="36"/>
      <c r="AT93" s="159"/>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row>
    <row r="94" spans="2:88" ht="15" customHeight="1" x14ac:dyDescent="0.3">
      <c r="AR94" s="36"/>
      <c r="AS94" s="36"/>
      <c r="AT94" s="159"/>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row>
    <row r="95" spans="2:88" ht="15" customHeight="1" x14ac:dyDescent="0.3">
      <c r="AR95" s="36"/>
      <c r="AS95" s="36"/>
      <c r="AT95" s="159"/>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row>
    <row r="96" spans="2:88" ht="15" customHeight="1" x14ac:dyDescent="0.3">
      <c r="AR96" s="36"/>
      <c r="AS96" s="36"/>
      <c r="AT96" s="159"/>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row>
    <row r="97" spans="44:88" ht="15" customHeight="1" x14ac:dyDescent="0.3">
      <c r="AR97" s="36"/>
      <c r="AS97" s="36"/>
      <c r="AT97" s="159"/>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row>
    <row r="98" spans="44:88" ht="15" customHeight="1" x14ac:dyDescent="0.3">
      <c r="AR98" s="36"/>
      <c r="AS98" s="36"/>
      <c r="AT98" s="159"/>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row>
    <row r="99" spans="44:88" ht="15" customHeight="1" x14ac:dyDescent="0.3">
      <c r="AR99" s="36"/>
      <c r="AS99" s="36"/>
      <c r="AT99" s="159"/>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row>
    <row r="100" spans="44:88" ht="15" customHeight="1" x14ac:dyDescent="0.3">
      <c r="AR100" s="36"/>
      <c r="AS100" s="36"/>
      <c r="AT100" s="159"/>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row>
    <row r="101" spans="44:88" ht="15" customHeight="1" x14ac:dyDescent="0.3">
      <c r="AR101" s="36"/>
      <c r="AS101" s="36"/>
      <c r="AT101" s="159"/>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row>
    <row r="102" spans="44:88" ht="15" customHeight="1" x14ac:dyDescent="0.3">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row>
    <row r="103" spans="44:88" ht="15" customHeight="1" x14ac:dyDescent="0.3">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row>
    <row r="104" spans="44:88" ht="15" customHeight="1" x14ac:dyDescent="0.3">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row>
    <row r="105" spans="44:88" ht="15" customHeight="1" x14ac:dyDescent="0.3">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row>
    <row r="106" spans="44:88" ht="15" customHeight="1" x14ac:dyDescent="0.3">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row>
    <row r="107" spans="44:88" ht="15" customHeight="1" x14ac:dyDescent="0.3">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row>
    <row r="108" spans="44:88" ht="15" customHeight="1" x14ac:dyDescent="0.3">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row>
    <row r="109" spans="44:88" ht="15" customHeight="1" x14ac:dyDescent="0.3">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row>
    <row r="110" spans="44:88" ht="15" customHeight="1" x14ac:dyDescent="0.3">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row>
    <row r="111" spans="44:88" ht="15" customHeight="1" x14ac:dyDescent="0.3">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row>
    <row r="112" spans="44:88" ht="15" customHeight="1" x14ac:dyDescent="0.3">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row>
    <row r="113" spans="2:88" ht="15" customHeight="1" x14ac:dyDescent="0.3">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row>
    <row r="114" spans="2:88" ht="15" customHeight="1" x14ac:dyDescent="0.3">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row>
    <row r="115" spans="2:88" ht="15" customHeight="1" x14ac:dyDescent="0.3">
      <c r="B115" s="216">
        <f>Tables!$C$13</f>
        <v>45383</v>
      </c>
      <c r="C115" s="216"/>
      <c r="D115" s="216"/>
      <c r="E115" s="216"/>
      <c r="F115" s="216"/>
      <c r="G115" s="216"/>
      <c r="H115" s="216"/>
      <c r="R115" s="184" t="s">
        <v>510</v>
      </c>
      <c r="S115" s="184"/>
      <c r="T115" s="184"/>
      <c r="U115" s="184"/>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row>
    <row r="116" spans="2:88" ht="15" customHeight="1" x14ac:dyDescent="0.3">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row>
    <row r="117" spans="2:88" ht="15" customHeight="1" x14ac:dyDescent="0.3">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row>
    <row r="118" spans="2:88" ht="15" customHeight="1" x14ac:dyDescent="0.3">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row>
  </sheetData>
  <sheetProtection algorithmName="SHA-512" hashValue="cLNaHfnfZbWSQng3F9avU3jygHHKzB3TgJN0A8cDAw+uvmTzugc+nfSu+UyiyRPMkraUkzHrm+b65piXkhEagg==" saltValue="kG3m8RqC4IagTEnLgaivHg==" spinCount="100000" sheet="1" objects="1" scenarios="1" selectLockedCells="1"/>
  <mergeCells count="135">
    <mergeCell ref="B115:H115"/>
    <mergeCell ref="R115:U115"/>
    <mergeCell ref="E87:K87"/>
    <mergeCell ref="O87:R87"/>
    <mergeCell ref="W87:Y87"/>
    <mergeCell ref="E88:Y88"/>
    <mergeCell ref="E89:I89"/>
    <mergeCell ref="AC91:AG91"/>
    <mergeCell ref="D69:Y69"/>
    <mergeCell ref="AE69:AJ69"/>
    <mergeCell ref="B72:AJ77"/>
    <mergeCell ref="E84:Y84"/>
    <mergeCell ref="E85:Y85"/>
    <mergeCell ref="E86:Y86"/>
    <mergeCell ref="K64:M64"/>
    <mergeCell ref="N64:O64"/>
    <mergeCell ref="R64:T64"/>
    <mergeCell ref="U64:V64"/>
    <mergeCell ref="Y64:AA64"/>
    <mergeCell ref="B67:H67"/>
    <mergeCell ref="R67:U67"/>
    <mergeCell ref="F62:H62"/>
    <mergeCell ref="K62:M62"/>
    <mergeCell ref="N62:O62"/>
    <mergeCell ref="R62:T62"/>
    <mergeCell ref="U62:V62"/>
    <mergeCell ref="Y62:AA62"/>
    <mergeCell ref="F60:H60"/>
    <mergeCell ref="K60:M60"/>
    <mergeCell ref="N60:O60"/>
    <mergeCell ref="R60:T60"/>
    <mergeCell ref="U60:V60"/>
    <mergeCell ref="Y60:AA60"/>
    <mergeCell ref="F58:H58"/>
    <mergeCell ref="K58:M58"/>
    <mergeCell ref="N58:O58"/>
    <mergeCell ref="R58:T58"/>
    <mergeCell ref="U58:V58"/>
    <mergeCell ref="Y58:AA58"/>
    <mergeCell ref="F56:H56"/>
    <mergeCell ref="K56:M56"/>
    <mergeCell ref="N56:O56"/>
    <mergeCell ref="R56:T56"/>
    <mergeCell ref="U56:V56"/>
    <mergeCell ref="Y56:AA56"/>
    <mergeCell ref="F54:H54"/>
    <mergeCell ref="K54:M54"/>
    <mergeCell ref="N54:O54"/>
    <mergeCell ref="R54:T54"/>
    <mergeCell ref="U54:V54"/>
    <mergeCell ref="Y54:AA54"/>
    <mergeCell ref="F52:H52"/>
    <mergeCell ref="K52:M52"/>
    <mergeCell ref="N52:O52"/>
    <mergeCell ref="R52:T52"/>
    <mergeCell ref="U52:V52"/>
    <mergeCell ref="Y52:AA52"/>
    <mergeCell ref="F50:H50"/>
    <mergeCell ref="K50:M50"/>
    <mergeCell ref="N50:O50"/>
    <mergeCell ref="R50:T50"/>
    <mergeCell ref="U50:V50"/>
    <mergeCell ref="Y50:AA50"/>
    <mergeCell ref="F48:H48"/>
    <mergeCell ref="K48:M48"/>
    <mergeCell ref="N48:O48"/>
    <mergeCell ref="R48:T48"/>
    <mergeCell ref="U48:V48"/>
    <mergeCell ref="Y48:AA48"/>
    <mergeCell ref="F46:H46"/>
    <mergeCell ref="K46:M46"/>
    <mergeCell ref="N46:O46"/>
    <mergeCell ref="R46:T46"/>
    <mergeCell ref="U46:V46"/>
    <mergeCell ref="Y46:AA46"/>
    <mergeCell ref="F44:H44"/>
    <mergeCell ref="K44:M44"/>
    <mergeCell ref="N44:O44"/>
    <mergeCell ref="R44:T44"/>
    <mergeCell ref="U44:V44"/>
    <mergeCell ref="Y44:AA44"/>
    <mergeCell ref="F42:H42"/>
    <mergeCell ref="K42:M42"/>
    <mergeCell ref="N42:O42"/>
    <mergeCell ref="R42:T42"/>
    <mergeCell ref="U42:V42"/>
    <mergeCell ref="Y42:AA42"/>
    <mergeCell ref="F40:H40"/>
    <mergeCell ref="K40:M40"/>
    <mergeCell ref="N40:O40"/>
    <mergeCell ref="R40:T40"/>
    <mergeCell ref="U40:V40"/>
    <mergeCell ref="Y40:AA40"/>
    <mergeCell ref="F38:H38"/>
    <mergeCell ref="K38:M38"/>
    <mergeCell ref="N38:O38"/>
    <mergeCell ref="R38:T38"/>
    <mergeCell ref="U38:V38"/>
    <mergeCell ref="Y38:AA38"/>
    <mergeCell ref="AH23:AI23"/>
    <mergeCell ref="B33:D33"/>
    <mergeCell ref="F33:H33"/>
    <mergeCell ref="K33:M33"/>
    <mergeCell ref="R33:T33"/>
    <mergeCell ref="Y33:AA33"/>
    <mergeCell ref="F36:H36"/>
    <mergeCell ref="K36:M36"/>
    <mergeCell ref="N36:O36"/>
    <mergeCell ref="R36:T36"/>
    <mergeCell ref="U36:V36"/>
    <mergeCell ref="Y36:AA36"/>
    <mergeCell ref="F34:H34"/>
    <mergeCell ref="K34:M34"/>
    <mergeCell ref="N34:O34"/>
    <mergeCell ref="R34:T34"/>
    <mergeCell ref="U34:V34"/>
    <mergeCell ref="Y34:AA34"/>
    <mergeCell ref="E17:K17"/>
    <mergeCell ref="O17:R17"/>
    <mergeCell ref="W17:Y17"/>
    <mergeCell ref="AE17:AJ17"/>
    <mergeCell ref="N1:AK4"/>
    <mergeCell ref="E18:Y18"/>
    <mergeCell ref="E19:Y19"/>
    <mergeCell ref="AE19:AJ19"/>
    <mergeCell ref="AH21:AI21"/>
    <mergeCell ref="BD1:BZ4"/>
    <mergeCell ref="AR6:BF7"/>
    <mergeCell ref="E7:X7"/>
    <mergeCell ref="AE7:AJ7"/>
    <mergeCell ref="F11:AJ11"/>
    <mergeCell ref="E15:Y15"/>
    <mergeCell ref="AE15:AJ15"/>
    <mergeCell ref="E16:Y16"/>
    <mergeCell ref="AE16:AJ16"/>
  </mergeCells>
  <conditionalFormatting sqref="B27">
    <cfRule type="expression" dxfId="265" priority="35">
      <formula>$AN$27=2</formula>
    </cfRule>
    <cfRule type="expression" dxfId="264" priority="33">
      <formula>$AP$27=3</formula>
    </cfRule>
    <cfRule type="expression" dxfId="263" priority="34">
      <formula>$AM$27=1</formula>
    </cfRule>
  </conditionalFormatting>
  <conditionalFormatting sqref="B29">
    <cfRule type="expression" dxfId="262" priority="36">
      <formula>$AP$29=3</formula>
    </cfRule>
    <cfRule type="expression" dxfId="261" priority="38">
      <formula>$AN$29=2</formula>
    </cfRule>
    <cfRule type="expression" dxfId="260" priority="37">
      <formula>$AM$29=1</formula>
    </cfRule>
  </conditionalFormatting>
  <conditionalFormatting sqref="B31">
    <cfRule type="expression" dxfId="259" priority="41">
      <formula>$AN$31=2</formula>
    </cfRule>
    <cfRule type="expression" dxfId="258" priority="40">
      <formula>$AM$31=1</formula>
    </cfRule>
    <cfRule type="expression" dxfId="257" priority="39">
      <formula>$AP$31=3</formula>
    </cfRule>
  </conditionalFormatting>
  <conditionalFormatting sqref="B33:D33 F33:H33">
    <cfRule type="expression" dxfId="256" priority="9">
      <formula>$AO$23=3</formula>
    </cfRule>
    <cfRule type="expression" dxfId="255" priority="8">
      <formula>$AO$23=0</formula>
    </cfRule>
  </conditionalFormatting>
  <conditionalFormatting sqref="B72:AJ77">
    <cfRule type="cellIs" priority="28" stopIfTrue="1" operator="greaterThan">
      <formula>0</formula>
    </cfRule>
    <cfRule type="expression" dxfId="254" priority="29">
      <formula>$AM$72=2</formula>
    </cfRule>
  </conditionalFormatting>
  <conditionalFormatting sqref="D69">
    <cfRule type="cellIs" dxfId="253" priority="17" operator="equal">
      <formula>0</formula>
    </cfRule>
  </conditionalFormatting>
  <conditionalFormatting sqref="E17">
    <cfRule type="expression" dxfId="252" priority="24">
      <formula>ISBLANK(E17)</formula>
    </cfRule>
  </conditionalFormatting>
  <conditionalFormatting sqref="E27">
    <cfRule type="expression" dxfId="251" priority="45">
      <formula>$AP$27=3</formula>
    </cfRule>
    <cfRule type="expression" dxfId="250" priority="44">
      <formula>$AM$27=1</formula>
    </cfRule>
  </conditionalFormatting>
  <conditionalFormatting sqref="E29">
    <cfRule type="expression" dxfId="249" priority="47">
      <formula>$AP$29=3</formula>
    </cfRule>
    <cfRule type="expression" dxfId="248" priority="46">
      <formula>$AM$29=1</formula>
    </cfRule>
  </conditionalFormatting>
  <conditionalFormatting sqref="E31">
    <cfRule type="expression" dxfId="247" priority="49">
      <formula>$AP$31=3</formula>
    </cfRule>
    <cfRule type="expression" dxfId="246" priority="48">
      <formula>$AM$31=1</formula>
    </cfRule>
  </conditionalFormatting>
  <conditionalFormatting sqref="E84:E85">
    <cfRule type="expression" dxfId="245" priority="23">
      <formula>ISBLANK(E84)</formula>
    </cfRule>
  </conditionalFormatting>
  <conditionalFormatting sqref="E87:E89">
    <cfRule type="expression" dxfId="244" priority="18">
      <formula>ISBLANK(E87)</formula>
    </cfRule>
  </conditionalFormatting>
  <conditionalFormatting sqref="E86:Y86">
    <cfRule type="expression" dxfId="243" priority="21">
      <formula>ISBLANK(E86)</formula>
    </cfRule>
  </conditionalFormatting>
  <conditionalFormatting sqref="F23">
    <cfRule type="expression" dxfId="242" priority="1">
      <formula>ISBLANK(F23)</formula>
    </cfRule>
  </conditionalFormatting>
  <conditionalFormatting sqref="F34 F36 F38 F40 F42 F44 F46 F48 F50 F52 F54 F56 F58 F60 F62">
    <cfRule type="cellIs" priority="14" stopIfTrue="1" operator="greaterThan">
      <formula>0</formula>
    </cfRule>
    <cfRule type="expression" dxfId="241" priority="15">
      <formula>$AM34=2</formula>
    </cfRule>
  </conditionalFormatting>
  <conditionalFormatting sqref="K34 R34 K36 R36 K38 R38 K40 R40 K42 R42 K44 R44 K46 R46 K48 R48 K50 R50 K52 R52 K54 R54 K56 R56 K58 R58 K60 R60 K62 R62">
    <cfRule type="expression" dxfId="240" priority="62">
      <formula>$AN34=2</formula>
    </cfRule>
    <cfRule type="cellIs" priority="61" stopIfTrue="1" operator="greaterThan">
      <formula>0</formula>
    </cfRule>
    <cfRule type="expression" dxfId="239" priority="60">
      <formula>$AQ$19=2</formula>
    </cfRule>
    <cfRule type="expression" dxfId="238" priority="59">
      <formula>$AQ$19=1</formula>
    </cfRule>
  </conditionalFormatting>
  <conditionalFormatting sqref="K64:M64">
    <cfRule type="expression" dxfId="237" priority="66">
      <formula>$AO$19=2</formula>
    </cfRule>
    <cfRule type="cellIs" priority="67" stopIfTrue="1" operator="greaterThan">
      <formula>0</formula>
    </cfRule>
    <cfRule type="cellIs" dxfId="236" priority="68" operator="equal">
      <formula>0</formula>
    </cfRule>
    <cfRule type="expression" dxfId="235" priority="65">
      <formula>$AN$19=1</formula>
    </cfRule>
  </conditionalFormatting>
  <conditionalFormatting sqref="N34 U34 N36 U36 N38 U38 N40 U40 N42 U42 N44 U44 N46 U46 N48 U48 N50 U50 N52 U52 N54 U54 N56 U56 N58 U58 N60 U60 N62 U62 N64">
    <cfRule type="expression" dxfId="234" priority="63">
      <formula>$AM$19=0</formula>
    </cfRule>
    <cfRule type="expression" dxfId="233" priority="64">
      <formula>$AQ$19=3</formula>
    </cfRule>
  </conditionalFormatting>
  <conditionalFormatting sqref="O17">
    <cfRule type="expression" dxfId="232" priority="25">
      <formula>ISBLANK(O17)</formula>
    </cfRule>
  </conditionalFormatting>
  <conditionalFormatting sqref="O87">
    <cfRule type="expression" dxfId="231" priority="19">
      <formula>ISBLANK(O87)</formula>
    </cfRule>
  </conditionalFormatting>
  <conditionalFormatting sqref="R64">
    <cfRule type="cellIs" priority="10" stopIfTrue="1" operator="greaterThan">
      <formula>0</formula>
    </cfRule>
    <cfRule type="cellIs" dxfId="230" priority="11" operator="equal">
      <formula>0</formula>
    </cfRule>
  </conditionalFormatting>
  <conditionalFormatting sqref="R64:T64">
    <cfRule type="expression" dxfId="229" priority="3">
      <formula>$AQ$19=1</formula>
    </cfRule>
    <cfRule type="expression" dxfId="228" priority="2">
      <formula>$AQ$19=2</formula>
    </cfRule>
  </conditionalFormatting>
  <conditionalFormatting sqref="U64">
    <cfRule type="expression" dxfId="227" priority="6">
      <formula>$AM$19=0</formula>
    </cfRule>
    <cfRule type="expression" dxfId="226" priority="7">
      <formula>$AQ$19=3</formula>
    </cfRule>
  </conditionalFormatting>
  <conditionalFormatting sqref="V21 V23">
    <cfRule type="expression" dxfId="225" priority="52">
      <formula>$AP$21=3</formula>
    </cfRule>
    <cfRule type="expression" dxfId="224" priority="53">
      <formula>$AM$21=0</formula>
    </cfRule>
  </conditionalFormatting>
  <conditionalFormatting sqref="V25 Y25">
    <cfRule type="expression" dxfId="223" priority="70">
      <formula>$AM$19=0</formula>
    </cfRule>
    <cfRule type="expression" dxfId="222" priority="69">
      <formula>$AP$19=3</formula>
    </cfRule>
  </conditionalFormatting>
  <conditionalFormatting sqref="W17 F21">
    <cfRule type="expression" dxfId="221" priority="26">
      <formula>ISBLANK(F17)</formula>
    </cfRule>
  </conditionalFormatting>
  <conditionalFormatting sqref="W87">
    <cfRule type="expression" dxfId="220" priority="20">
      <formula>ISBLANK(W87)</formula>
    </cfRule>
  </conditionalFormatting>
  <conditionalFormatting sqref="Y34 Y36 Y38 Y40 Y42 Y44 Y46 Y48 Y50 Y52 Y54 Y56 Y58 Y60 Y62">
    <cfRule type="cellIs" priority="12" stopIfTrue="1" operator="greaterThan">
      <formula>0</formula>
    </cfRule>
    <cfRule type="expression" dxfId="219" priority="13">
      <formula>$AN34=2</formula>
    </cfRule>
  </conditionalFormatting>
  <conditionalFormatting sqref="Y64">
    <cfRule type="cellIs" priority="4" stopIfTrue="1" operator="greaterThan">
      <formula>0</formula>
    </cfRule>
    <cfRule type="cellIs" dxfId="218" priority="5" operator="equal">
      <formula>0</formula>
    </cfRule>
  </conditionalFormatting>
  <conditionalFormatting sqref="AC91">
    <cfRule type="expression" dxfId="217" priority="22">
      <formula>ISBLANK(AC91)</formula>
    </cfRule>
  </conditionalFormatting>
  <conditionalFormatting sqref="AE34 AH34 AE36 AH36 AE38 AH38 AE40 AH40 AE42 AH42 AE44 AH44 AE46 AH46 AE48 AH48 AE50 AH50 AE52 AH52 AE54 AH54 AE56 AH56 AE58 AH58 AE60 AH60 AE62 AH62">
    <cfRule type="expression" dxfId="216" priority="56">
      <formula>$AQ34=3</formula>
    </cfRule>
    <cfRule type="expression" priority="57" stopIfTrue="1">
      <formula>$AP34=1</formula>
    </cfRule>
    <cfRule type="expression" dxfId="215" priority="58">
      <formula>$AN34=2</formula>
    </cfRule>
  </conditionalFormatting>
  <conditionalFormatting sqref="AE15:AJ15 E15:Y16 AE16 AE17:AJ17 E18:Y19 AE19:AJ19">
    <cfRule type="expression" dxfId="214" priority="27">
      <formula>ISBLANK(E15)</formula>
    </cfRule>
  </conditionalFormatting>
  <conditionalFormatting sqref="AE69:AJ69">
    <cfRule type="cellIs" dxfId="213" priority="16" operator="equal">
      <formula>0</formula>
    </cfRule>
  </conditionalFormatting>
  <conditionalFormatting sqref="AH21">
    <cfRule type="cellIs" priority="50" stopIfTrue="1" operator="greaterThan">
      <formula>0</formula>
    </cfRule>
    <cfRule type="expression" dxfId="212" priority="51">
      <formula>$AN$21=1</formula>
    </cfRule>
  </conditionalFormatting>
  <conditionalFormatting sqref="AH23">
    <cfRule type="expression" dxfId="211" priority="55">
      <formula>$AO$21=1</formula>
    </cfRule>
    <cfRule type="cellIs" priority="54" stopIfTrue="1" operator="greaterThan">
      <formula>0</formula>
    </cfRule>
  </conditionalFormatting>
  <printOptions horizontalCentered="1"/>
  <pageMargins left="0.25" right="0.25" top="0.25" bottom="0.25" header="0.3" footer="0.3"/>
  <pageSetup orientation="portrait" horizontalDpi="1200" verticalDpi="1200" r:id="rId1"/>
  <rowBreaks count="1" manualBreakCount="1">
    <brk id="68"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440FC-239C-4B7E-928C-842CA3520C8D}">
  <sheetPr codeName="Sheet6">
    <tabColor theme="8" tint="0.39997558519241921"/>
  </sheetPr>
  <dimension ref="A1:CF317"/>
  <sheetViews>
    <sheetView showGridLines="0" showRowColHeaders="0" showZeros="0" zoomScale="150" zoomScaleNormal="150" workbookViewId="0">
      <selection activeCell="AF15" sqref="AF15:AK15"/>
    </sheetView>
  </sheetViews>
  <sheetFormatPr defaultColWidth="0" defaultRowHeight="0" customHeight="1" zeroHeight="1" x14ac:dyDescent="0.3"/>
  <cols>
    <col min="1" max="11" width="2.6640625" style="40" customWidth="1"/>
    <col min="12" max="13" width="2.77734375" style="40" customWidth="1"/>
    <col min="14" max="29" width="2.6640625" style="40" customWidth="1"/>
    <col min="30" max="30" width="3.77734375" style="40" customWidth="1"/>
    <col min="31" max="31" width="2.6640625" style="40" customWidth="1"/>
    <col min="32" max="32" width="1.77734375" style="40" customWidth="1"/>
    <col min="33" max="38" width="2.6640625" style="40" customWidth="1"/>
    <col min="39" max="39" width="13.21875" style="15" hidden="1" customWidth="1"/>
    <col min="40" max="40" width="8.5546875" style="15" hidden="1" customWidth="1"/>
    <col min="41" max="41" width="9.109375" style="24" hidden="1" customWidth="1"/>
    <col min="42" max="42" width="7.21875" style="24" hidden="1" customWidth="1"/>
    <col min="43" max="43" width="9.21875" style="24" hidden="1" customWidth="1"/>
    <col min="44" max="44" width="3.77734375" style="40" customWidth="1"/>
    <col min="45" max="45" width="2.77734375" style="25" customWidth="1"/>
    <col min="46" max="79" width="2.77734375" style="40" customWidth="1"/>
    <col min="80" max="82" width="8.88671875" style="40" hidden="1" customWidth="1"/>
    <col min="83" max="84" width="0" style="40" hidden="1" customWidth="1"/>
    <col min="85" max="16384" width="8.88671875" style="40" hidden="1"/>
  </cols>
  <sheetData>
    <row r="1" spans="1:82" ht="15" customHeight="1" x14ac:dyDescent="0.3">
      <c r="N1" s="3"/>
      <c r="O1" s="3"/>
      <c r="P1" s="3"/>
      <c r="Q1" s="3"/>
      <c r="R1" s="26"/>
      <c r="S1" s="219" t="s">
        <v>223</v>
      </c>
      <c r="T1" s="219"/>
      <c r="U1" s="219"/>
      <c r="V1" s="219"/>
      <c r="W1" s="219"/>
      <c r="X1" s="219"/>
      <c r="Y1" s="219"/>
      <c r="Z1" s="219"/>
      <c r="AA1" s="219"/>
      <c r="AB1" s="219"/>
      <c r="AC1" s="219"/>
      <c r="AD1" s="219"/>
      <c r="AE1" s="219"/>
      <c r="AF1" s="219"/>
      <c r="AG1" s="219"/>
      <c r="AH1" s="219"/>
      <c r="AI1" s="219"/>
      <c r="AJ1" s="219"/>
      <c r="AK1" s="219"/>
      <c r="AL1" s="219"/>
      <c r="BD1" s="219" t="str">
        <f>S1</f>
        <v>Form 3C - Underground Detention
As-Built Certification Form</v>
      </c>
      <c r="BE1" s="219"/>
      <c r="BF1" s="219"/>
      <c r="BG1" s="219"/>
      <c r="BH1" s="219"/>
      <c r="BI1" s="219"/>
      <c r="BJ1" s="219"/>
      <c r="BK1" s="219"/>
      <c r="BL1" s="219"/>
      <c r="BM1" s="219"/>
      <c r="BN1" s="219"/>
      <c r="BO1" s="219"/>
      <c r="BP1" s="219"/>
      <c r="BQ1" s="219"/>
      <c r="BR1" s="219"/>
      <c r="BS1" s="219"/>
      <c r="BT1" s="219"/>
      <c r="BU1" s="219"/>
      <c r="BV1" s="219"/>
      <c r="BW1" s="219"/>
      <c r="BX1" s="219"/>
      <c r="BY1" s="219"/>
      <c r="BZ1" s="219"/>
      <c r="CA1" s="89"/>
      <c r="CB1" s="26"/>
      <c r="CC1" s="26"/>
      <c r="CD1" s="26"/>
    </row>
    <row r="2" spans="1:82" ht="15" customHeight="1" x14ac:dyDescent="0.3">
      <c r="J2" s="3"/>
      <c r="K2" s="3"/>
      <c r="L2" s="3"/>
      <c r="M2" s="3"/>
      <c r="N2" s="3"/>
      <c r="O2" s="3"/>
      <c r="P2" s="3"/>
      <c r="Q2" s="3"/>
      <c r="R2" s="26"/>
      <c r="S2" s="219"/>
      <c r="T2" s="219"/>
      <c r="U2" s="219"/>
      <c r="V2" s="219"/>
      <c r="W2" s="219"/>
      <c r="X2" s="219"/>
      <c r="Y2" s="219"/>
      <c r="Z2" s="219"/>
      <c r="AA2" s="219"/>
      <c r="AB2" s="219"/>
      <c r="AC2" s="219"/>
      <c r="AD2" s="219"/>
      <c r="AE2" s="219"/>
      <c r="AF2" s="219"/>
      <c r="AG2" s="219"/>
      <c r="AH2" s="219"/>
      <c r="AI2" s="219"/>
      <c r="AJ2" s="219"/>
      <c r="AK2" s="219"/>
      <c r="AL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89"/>
      <c r="CB2" s="26"/>
      <c r="CC2" s="26"/>
      <c r="CD2" s="26"/>
    </row>
    <row r="3" spans="1:82" ht="15" customHeight="1" x14ac:dyDescent="0.3">
      <c r="J3" s="3"/>
      <c r="K3" s="3"/>
      <c r="L3" s="3"/>
      <c r="M3" s="3"/>
      <c r="N3" s="3"/>
      <c r="O3" s="3"/>
      <c r="P3" s="3"/>
      <c r="Q3" s="3"/>
      <c r="R3" s="26"/>
      <c r="S3" s="219"/>
      <c r="T3" s="219"/>
      <c r="U3" s="219"/>
      <c r="V3" s="219"/>
      <c r="W3" s="219"/>
      <c r="X3" s="219"/>
      <c r="Y3" s="219"/>
      <c r="Z3" s="219"/>
      <c r="AA3" s="219"/>
      <c r="AB3" s="219"/>
      <c r="AC3" s="219"/>
      <c r="AD3" s="219"/>
      <c r="AE3" s="219"/>
      <c r="AF3" s="219"/>
      <c r="AG3" s="219"/>
      <c r="AH3" s="219"/>
      <c r="AI3" s="219"/>
      <c r="AJ3" s="219"/>
      <c r="AK3" s="219"/>
      <c r="AL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89"/>
      <c r="CB3" s="26"/>
      <c r="CC3" s="26"/>
      <c r="CD3" s="26"/>
    </row>
    <row r="4" spans="1:82" ht="15" customHeight="1" x14ac:dyDescent="0.3">
      <c r="J4" s="3"/>
      <c r="K4" s="3"/>
      <c r="L4" s="3"/>
      <c r="M4" s="3"/>
      <c r="N4" s="3"/>
      <c r="O4" s="3"/>
      <c r="P4" s="3"/>
      <c r="Q4" s="3"/>
      <c r="R4" s="26"/>
      <c r="S4" s="219"/>
      <c r="T4" s="219"/>
      <c r="U4" s="219"/>
      <c r="V4" s="219"/>
      <c r="W4" s="219"/>
      <c r="X4" s="219"/>
      <c r="Y4" s="219"/>
      <c r="Z4" s="219"/>
      <c r="AA4" s="219"/>
      <c r="AB4" s="219"/>
      <c r="AC4" s="219"/>
      <c r="AD4" s="219"/>
      <c r="AE4" s="219"/>
      <c r="AF4" s="219"/>
      <c r="AG4" s="219"/>
      <c r="AH4" s="219"/>
      <c r="AI4" s="219"/>
      <c r="AJ4" s="219"/>
      <c r="AK4" s="219"/>
      <c r="AL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89"/>
      <c r="CB4" s="26"/>
      <c r="CC4" s="26"/>
      <c r="CD4" s="26"/>
    </row>
    <row r="5" spans="1:82" ht="4.95" customHeight="1" x14ac:dyDescent="0.3">
      <c r="J5" s="3"/>
      <c r="K5" s="3"/>
      <c r="L5" s="3"/>
      <c r="M5" s="3"/>
      <c r="N5" s="3"/>
      <c r="O5" s="3"/>
      <c r="P5" s="3"/>
      <c r="Q5" s="3"/>
      <c r="R5" s="27"/>
      <c r="S5" s="27"/>
      <c r="T5" s="27"/>
      <c r="U5" s="27"/>
      <c r="V5" s="27"/>
      <c r="W5" s="27"/>
      <c r="X5" s="27"/>
      <c r="Y5" s="27"/>
      <c r="Z5" s="27"/>
      <c r="AA5" s="27"/>
      <c r="AB5" s="27"/>
      <c r="AC5" s="27"/>
      <c r="AD5" s="27"/>
      <c r="AE5" s="27"/>
      <c r="AF5" s="27"/>
      <c r="AG5" s="27"/>
      <c r="AH5" s="27"/>
      <c r="AI5" s="27"/>
      <c r="AJ5" s="27"/>
      <c r="AK5" s="27"/>
    </row>
    <row r="6" spans="1:82" ht="15" customHeight="1" x14ac:dyDescent="0.3">
      <c r="A6" s="28"/>
      <c r="B6" s="29" t="s">
        <v>123</v>
      </c>
      <c r="C6" s="29"/>
      <c r="D6" s="29"/>
      <c r="E6" s="29"/>
      <c r="F6" s="29"/>
      <c r="G6" s="29"/>
      <c r="H6" s="29"/>
      <c r="I6" s="29"/>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1"/>
      <c r="AS6" s="220" t="s">
        <v>74</v>
      </c>
      <c r="AT6" s="220"/>
      <c r="AU6" s="220"/>
      <c r="AV6" s="220"/>
      <c r="AW6" s="220"/>
      <c r="AX6" s="220"/>
      <c r="AY6" s="220"/>
      <c r="AZ6" s="220"/>
      <c r="BA6" s="220"/>
      <c r="BB6" s="220"/>
      <c r="BC6" s="220"/>
      <c r="BD6" s="220"/>
      <c r="BE6" s="220"/>
      <c r="BF6" s="220"/>
      <c r="BG6" s="83"/>
      <c r="BH6" s="83"/>
      <c r="BI6" s="83"/>
      <c r="BJ6" s="83"/>
      <c r="BK6" s="83"/>
      <c r="BL6" s="83"/>
      <c r="BM6" s="83"/>
      <c r="BN6" s="83"/>
      <c r="BO6" s="83"/>
      <c r="BP6" s="83"/>
      <c r="BQ6" s="83"/>
      <c r="BR6" s="83"/>
      <c r="BS6" s="83"/>
      <c r="BT6" s="83"/>
      <c r="BU6" s="83"/>
      <c r="BV6" s="83"/>
      <c r="BW6" s="83"/>
      <c r="BX6" s="83"/>
      <c r="BY6" s="83"/>
      <c r="BZ6" s="83"/>
      <c r="CA6" s="83"/>
    </row>
    <row r="7" spans="1:82" ht="15" customHeight="1" x14ac:dyDescent="0.3">
      <c r="A7" s="32"/>
      <c r="B7" s="12" t="s">
        <v>65</v>
      </c>
      <c r="C7" s="12"/>
      <c r="D7" s="12"/>
      <c r="E7" s="73"/>
      <c r="F7" s="73"/>
      <c r="G7" s="73"/>
      <c r="H7" s="248"/>
      <c r="I7" s="248"/>
      <c r="J7" s="248"/>
      <c r="K7" s="248"/>
      <c r="L7" s="248"/>
      <c r="M7" s="248"/>
      <c r="N7" s="248"/>
      <c r="O7" s="248"/>
      <c r="P7" s="248"/>
      <c r="Q7" s="248"/>
      <c r="R7" s="248"/>
      <c r="S7" s="248"/>
      <c r="T7" s="248"/>
      <c r="U7" s="248"/>
      <c r="V7" s="248"/>
      <c r="W7" s="248"/>
      <c r="X7" s="73"/>
      <c r="Y7" s="73"/>
      <c r="Z7" s="73"/>
      <c r="AA7" s="12"/>
      <c r="AB7" s="12"/>
      <c r="AC7" s="12"/>
      <c r="AD7" s="12"/>
      <c r="AE7" s="33" t="s">
        <v>21</v>
      </c>
      <c r="AF7" s="73"/>
      <c r="AG7" s="73"/>
      <c r="AH7" s="73"/>
      <c r="AI7" s="73"/>
      <c r="AJ7" s="73"/>
      <c r="AK7" s="73"/>
      <c r="AL7" s="34"/>
      <c r="AS7" s="220"/>
      <c r="AT7" s="220"/>
      <c r="AU7" s="220"/>
      <c r="AV7" s="220"/>
      <c r="AW7" s="220"/>
      <c r="AX7" s="220"/>
      <c r="AY7" s="220"/>
      <c r="AZ7" s="220"/>
      <c r="BA7" s="220"/>
      <c r="BB7" s="220"/>
      <c r="BC7" s="220"/>
      <c r="BD7" s="220"/>
      <c r="BE7" s="220"/>
      <c r="BF7" s="220"/>
      <c r="BG7" s="83"/>
      <c r="BH7" s="83"/>
      <c r="BI7" s="83"/>
      <c r="BJ7" s="83"/>
      <c r="BK7" s="83"/>
      <c r="BL7" s="83"/>
      <c r="BM7" s="83"/>
      <c r="BN7" s="83"/>
      <c r="BO7" s="83"/>
      <c r="BP7" s="83"/>
      <c r="BQ7" s="83"/>
      <c r="BR7" s="83"/>
      <c r="BS7" s="83"/>
      <c r="BT7" s="83"/>
      <c r="BU7" s="83"/>
      <c r="BV7" s="83"/>
      <c r="BW7" s="83"/>
      <c r="BX7" s="83"/>
      <c r="BY7" s="83"/>
      <c r="BZ7" s="83"/>
      <c r="CA7" s="83"/>
    </row>
    <row r="8" spans="1:82" ht="4.95" customHeight="1" x14ac:dyDescent="0.3">
      <c r="A8" s="32"/>
      <c r="B8" s="12"/>
      <c r="C8" s="12"/>
      <c r="D8" s="12"/>
      <c r="E8" s="12"/>
      <c r="F8" s="12"/>
      <c r="G8" s="12"/>
      <c r="H8" s="12"/>
      <c r="I8" s="73"/>
      <c r="J8" s="12"/>
      <c r="K8" s="12"/>
      <c r="L8" s="12"/>
      <c r="M8" s="12"/>
      <c r="N8" s="12"/>
      <c r="O8" s="12"/>
      <c r="P8" s="12"/>
      <c r="Q8" s="12"/>
      <c r="R8" s="12"/>
      <c r="S8" s="12"/>
      <c r="T8" s="12"/>
      <c r="U8" s="12"/>
      <c r="V8" s="12"/>
      <c r="W8" s="12"/>
      <c r="X8" s="12"/>
      <c r="Y8" s="12"/>
      <c r="Z8" s="12"/>
      <c r="AA8" s="33"/>
      <c r="AB8" s="33"/>
      <c r="AC8" s="33"/>
      <c r="AD8" s="12"/>
      <c r="AE8" s="12"/>
      <c r="AF8" s="12"/>
      <c r="AG8" s="12"/>
      <c r="AH8" s="12"/>
      <c r="AI8" s="12"/>
      <c r="AJ8" s="12"/>
      <c r="AK8" s="12"/>
      <c r="AL8" s="34"/>
    </row>
    <row r="9" spans="1:82" ht="15" customHeight="1" x14ac:dyDescent="0.3">
      <c r="A9" s="32"/>
      <c r="B9" s="12" t="s">
        <v>22</v>
      </c>
      <c r="C9" s="12"/>
      <c r="D9" s="12"/>
      <c r="E9" s="12"/>
      <c r="F9" s="12"/>
      <c r="G9" s="12"/>
      <c r="H9" s="12"/>
      <c r="I9" s="35"/>
      <c r="J9" s="12" t="s">
        <v>132</v>
      </c>
      <c r="K9" s="12"/>
      <c r="L9" s="12"/>
      <c r="M9" s="12"/>
      <c r="N9" s="12"/>
      <c r="O9" s="12"/>
      <c r="P9" s="35"/>
      <c r="Q9" s="12" t="s">
        <v>133</v>
      </c>
      <c r="R9" s="12"/>
      <c r="S9" s="12"/>
      <c r="T9" s="12"/>
      <c r="U9" s="12"/>
      <c r="V9" s="12"/>
      <c r="W9" s="12"/>
      <c r="X9" s="12"/>
      <c r="Y9" s="12"/>
      <c r="Z9" s="35"/>
      <c r="AA9" s="12" t="s">
        <v>134</v>
      </c>
      <c r="AB9" s="12"/>
      <c r="AC9" s="12"/>
      <c r="AD9" s="12"/>
      <c r="AE9" s="12"/>
      <c r="AF9" s="12"/>
      <c r="AG9" s="35"/>
      <c r="AH9" s="12" t="s">
        <v>135</v>
      </c>
      <c r="AI9" s="12"/>
      <c r="AJ9" s="12"/>
      <c r="AK9" s="12"/>
      <c r="AL9" s="34"/>
      <c r="AS9" s="25">
        <v>1</v>
      </c>
      <c r="AT9" s="97" t="s">
        <v>99</v>
      </c>
      <c r="AY9" s="37"/>
      <c r="AZ9" s="37"/>
      <c r="BA9"/>
      <c r="BB9"/>
      <c r="BC9"/>
      <c r="BD9"/>
      <c r="BE9"/>
      <c r="BF9"/>
      <c r="BG9"/>
      <c r="BH9"/>
      <c r="BI9"/>
      <c r="BJ9"/>
      <c r="BK9"/>
      <c r="BL9"/>
      <c r="BM9"/>
      <c r="BN9"/>
      <c r="BO9"/>
      <c r="BP9"/>
      <c r="BQ9"/>
      <c r="BR9"/>
      <c r="BS9"/>
      <c r="BT9"/>
      <c r="BU9"/>
      <c r="BV9"/>
      <c r="BW9" s="37"/>
      <c r="BX9" s="37"/>
      <c r="BY9" s="37"/>
      <c r="BZ9" s="37"/>
      <c r="CA9" s="37"/>
    </row>
    <row r="10" spans="1:82" ht="4.95" customHeight="1" x14ac:dyDescent="0.3">
      <c r="A10" s="3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34"/>
      <c r="AT10" s="97"/>
      <c r="AY10" s="37"/>
      <c r="AZ10" s="37"/>
      <c r="BA10"/>
      <c r="BB10"/>
      <c r="BC10"/>
      <c r="BD10"/>
      <c r="BE10"/>
      <c r="BF10"/>
      <c r="BG10"/>
      <c r="BH10"/>
      <c r="BI10"/>
      <c r="BJ10"/>
      <c r="BK10"/>
      <c r="BL10"/>
      <c r="BM10"/>
      <c r="BN10"/>
      <c r="BO10"/>
      <c r="BP10"/>
      <c r="BQ10"/>
      <c r="BR10"/>
      <c r="BS10"/>
      <c r="BT10"/>
      <c r="BU10"/>
      <c r="BV10"/>
      <c r="BW10" s="37"/>
      <c r="BX10" s="37"/>
      <c r="BY10" s="37"/>
      <c r="BZ10" s="37"/>
      <c r="CA10" s="37"/>
    </row>
    <row r="11" spans="1:82" ht="15" customHeight="1" x14ac:dyDescent="0.3">
      <c r="A11" s="32"/>
      <c r="B11" s="14" t="s">
        <v>23</v>
      </c>
      <c r="C11" s="33"/>
      <c r="D11" s="33"/>
      <c r="E11" s="14"/>
      <c r="F11" s="80"/>
      <c r="G11" s="80"/>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75"/>
      <c r="AK11" s="75"/>
      <c r="AL11" s="34"/>
      <c r="AT11" s="4" t="s">
        <v>101</v>
      </c>
      <c r="AU11" s="97" t="s">
        <v>280</v>
      </c>
      <c r="AV11" s="97"/>
      <c r="AW11" s="97"/>
      <c r="AX11" s="97"/>
      <c r="AY11"/>
      <c r="AZ11"/>
      <c r="BA11"/>
      <c r="BB11"/>
      <c r="BC11"/>
      <c r="BD11"/>
      <c r="BE11"/>
      <c r="BF11"/>
      <c r="BG11"/>
      <c r="BH11"/>
      <c r="BI11"/>
      <c r="BJ11"/>
      <c r="BK11"/>
      <c r="BL11"/>
      <c r="BM11"/>
      <c r="BN11"/>
      <c r="BO11"/>
      <c r="BP11"/>
      <c r="BQ11"/>
      <c r="BR11"/>
      <c r="BS11"/>
      <c r="BT11"/>
      <c r="BU11"/>
      <c r="BV11"/>
      <c r="BW11" s="37"/>
      <c r="BX11" s="37"/>
      <c r="BY11" s="37"/>
      <c r="BZ11" s="37"/>
      <c r="CA11" s="37"/>
    </row>
    <row r="12" spans="1:82" ht="4.95" customHeight="1" x14ac:dyDescent="0.3">
      <c r="A12" s="38"/>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39"/>
      <c r="AT12" s="4"/>
      <c r="AU12" s="97"/>
      <c r="AV12" s="97"/>
      <c r="AW12" s="97"/>
      <c r="AX12" s="97"/>
      <c r="AY12"/>
      <c r="AZ12"/>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row>
    <row r="13" spans="1:82" ht="4.95" customHeight="1" x14ac:dyDescent="0.3">
      <c r="AT13" s="4"/>
      <c r="AU13" s="97"/>
      <c r="AV13" s="97"/>
      <c r="AW13" s="97"/>
      <c r="AX13" s="97"/>
      <c r="AY13"/>
      <c r="AZ13"/>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row>
    <row r="14" spans="1:82" ht="15" customHeight="1" x14ac:dyDescent="0.3">
      <c r="A14" s="1" t="s">
        <v>0</v>
      </c>
      <c r="C14" s="1"/>
      <c r="D14" s="1"/>
      <c r="E14" s="1"/>
      <c r="F14" s="1"/>
      <c r="G14" s="1"/>
      <c r="H14" s="1"/>
      <c r="I14" s="1"/>
      <c r="AE14" s="2" t="str">
        <f>IF(Tables!C25=0,"",Tables!C25&amp;": ")</f>
        <v/>
      </c>
      <c r="AF14" s="206"/>
      <c r="AG14" s="206"/>
      <c r="AH14" s="206"/>
      <c r="AI14" s="206"/>
      <c r="AJ14" s="206"/>
      <c r="AK14" s="206"/>
      <c r="AM14" s="128">
        <f>LEN(AE14)</f>
        <v>0</v>
      </c>
      <c r="AT14" s="4" t="s">
        <v>102</v>
      </c>
      <c r="AU14" s="97" t="s">
        <v>100</v>
      </c>
      <c r="AY14" s="37"/>
      <c r="AZ14" s="37"/>
      <c r="BW14" s="37"/>
      <c r="BX14" s="37"/>
      <c r="BY14" s="37"/>
      <c r="BZ14" s="37"/>
      <c r="CA14" s="37"/>
    </row>
    <row r="15" spans="1:82" ht="15" customHeight="1" x14ac:dyDescent="0.3">
      <c r="C15" s="2"/>
      <c r="D15" s="2" t="s">
        <v>1</v>
      </c>
      <c r="E15" s="187">
        <f>'Form 2C.1 - Design'!$E$13</f>
        <v>0</v>
      </c>
      <c r="F15" s="187"/>
      <c r="G15" s="187"/>
      <c r="H15" s="187"/>
      <c r="I15" s="187"/>
      <c r="J15" s="187"/>
      <c r="K15" s="187"/>
      <c r="L15" s="187"/>
      <c r="M15" s="187"/>
      <c r="N15" s="187"/>
      <c r="O15" s="187"/>
      <c r="P15" s="187"/>
      <c r="Q15" s="187"/>
      <c r="R15" s="187"/>
      <c r="S15" s="187"/>
      <c r="T15" s="187"/>
      <c r="U15" s="187"/>
      <c r="V15" s="187"/>
      <c r="W15" s="187"/>
      <c r="X15" s="187"/>
      <c r="Y15" s="187"/>
      <c r="Z15" s="187"/>
      <c r="AE15" s="2" t="s">
        <v>21</v>
      </c>
      <c r="AF15" s="260"/>
      <c r="AG15" s="260"/>
      <c r="AH15" s="260"/>
      <c r="AI15" s="260"/>
      <c r="AJ15" s="260"/>
      <c r="AK15" s="260"/>
      <c r="AS15" s="25">
        <v>2</v>
      </c>
      <c r="AT15" s="97" t="s">
        <v>111</v>
      </c>
      <c r="AY15" s="37"/>
      <c r="AZ15" s="37"/>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row>
    <row r="16" spans="1:82" ht="15" customHeight="1" x14ac:dyDescent="0.3">
      <c r="C16" s="2"/>
      <c r="D16" s="2" t="s">
        <v>20</v>
      </c>
      <c r="E16" s="238">
        <f>'Form 2C.1 - Design'!$E$14</f>
        <v>0</v>
      </c>
      <c r="F16" s="238"/>
      <c r="G16" s="238"/>
      <c r="H16" s="238"/>
      <c r="I16" s="238"/>
      <c r="J16" s="238"/>
      <c r="K16" s="238"/>
      <c r="L16" s="238"/>
      <c r="M16" s="238"/>
      <c r="N16" s="238"/>
      <c r="O16" s="238"/>
      <c r="P16" s="238"/>
      <c r="Q16" s="238"/>
      <c r="R16" s="238"/>
      <c r="S16" s="238"/>
      <c r="T16" s="238"/>
      <c r="U16" s="238"/>
      <c r="V16" s="238"/>
      <c r="W16" s="238"/>
      <c r="X16" s="238"/>
      <c r="Y16" s="238"/>
      <c r="Z16" s="238"/>
      <c r="AE16" s="2" t="s">
        <v>35</v>
      </c>
      <c r="AF16" s="189">
        <f>'Form 2C.1 - Design'!AE14</f>
        <v>0</v>
      </c>
      <c r="AG16" s="189"/>
      <c r="AH16" s="189"/>
      <c r="AI16" s="189"/>
      <c r="AJ16" s="189"/>
      <c r="AK16" s="189"/>
      <c r="AT16" s="4" t="s">
        <v>101</v>
      </c>
      <c r="AU16" s="108" t="s">
        <v>350</v>
      </c>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row>
    <row r="17" spans="1:79" ht="4.95" customHeight="1" x14ac:dyDescent="0.3">
      <c r="H17" s="2"/>
      <c r="I17" s="2"/>
      <c r="AV17" s="108"/>
      <c r="AW17" s="108"/>
      <c r="AX17" s="108"/>
      <c r="AY17" s="84"/>
      <c r="AZ17" s="84"/>
      <c r="BY17" s="37"/>
      <c r="BZ17" s="37"/>
      <c r="CA17" s="37"/>
    </row>
    <row r="18" spans="1:79" ht="15" customHeight="1" x14ac:dyDescent="0.3">
      <c r="B18" s="40" t="s">
        <v>128</v>
      </c>
      <c r="G18" s="77"/>
      <c r="H18" s="40" t="s">
        <v>125</v>
      </c>
      <c r="N18" s="77"/>
      <c r="O18" s="40" t="s">
        <v>126</v>
      </c>
      <c r="W18" s="4"/>
      <c r="X18" s="4"/>
      <c r="Y18" s="4"/>
      <c r="Z18" s="77"/>
      <c r="AA18" s="40" t="str">
        <f>Tables!C24</f>
        <v xml:space="preserve"> O&amp;M Agreement</v>
      </c>
      <c r="AH18" s="77"/>
      <c r="AI18" s="40" t="s">
        <v>129</v>
      </c>
      <c r="AU18" s="108" t="s">
        <v>351</v>
      </c>
      <c r="AV18" s="108"/>
      <c r="AW18" s="108"/>
      <c r="AX18" s="108"/>
      <c r="AY18" s="84"/>
      <c r="AZ18" s="84"/>
      <c r="BA18"/>
      <c r="BB18"/>
      <c r="BC18"/>
      <c r="BD18"/>
      <c r="BE18"/>
      <c r="BF18"/>
      <c r="BG18"/>
      <c r="BH18"/>
      <c r="BI18"/>
      <c r="BJ18"/>
      <c r="BK18"/>
      <c r="BL18"/>
      <c r="BM18"/>
      <c r="BN18"/>
      <c r="BO18"/>
      <c r="BP18"/>
      <c r="BQ18"/>
      <c r="BR18"/>
      <c r="BS18"/>
      <c r="BT18"/>
      <c r="BU18"/>
      <c r="BV18"/>
      <c r="BW18" s="37"/>
      <c r="BX18" s="37"/>
      <c r="BY18" s="37"/>
      <c r="BZ18" s="37"/>
      <c r="CA18" s="37"/>
    </row>
    <row r="19" spans="1:79" ht="4.95" customHeight="1" x14ac:dyDescent="0.3">
      <c r="BY19" s="37"/>
      <c r="BZ19" s="37"/>
      <c r="CA19" s="37"/>
    </row>
    <row r="20" spans="1:79" ht="15" customHeight="1" x14ac:dyDescent="0.3">
      <c r="A20" s="235" t="s">
        <v>228</v>
      </c>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T20" s="4" t="s">
        <v>102</v>
      </c>
      <c r="AU20" s="97" t="s">
        <v>105</v>
      </c>
      <c r="AV20" s="97"/>
      <c r="AW20" s="97"/>
      <c r="AX20" s="97"/>
      <c r="AY20"/>
      <c r="AZ20"/>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row>
    <row r="21" spans="1:79" ht="15" customHeight="1" x14ac:dyDescent="0.3">
      <c r="B21" s="1" t="s">
        <v>60</v>
      </c>
      <c r="C21" s="1"/>
      <c r="D21" s="1"/>
      <c r="E21" s="1"/>
      <c r="F21" s="1"/>
      <c r="G21" s="1"/>
      <c r="I21" s="1"/>
      <c r="J21" s="1"/>
      <c r="K21" s="1"/>
      <c r="L21" s="1"/>
      <c r="M21" s="1"/>
      <c r="N21" s="1"/>
      <c r="O21" s="1"/>
      <c r="P21" s="1"/>
      <c r="Q21" s="1"/>
      <c r="R21" s="1"/>
      <c r="S21" s="81"/>
      <c r="T21" s="42"/>
      <c r="U21" s="1" t="s">
        <v>61</v>
      </c>
      <c r="V21" s="1"/>
      <c r="W21" s="1"/>
      <c r="X21" s="1"/>
      <c r="Y21" s="1"/>
      <c r="Z21" s="1"/>
      <c r="AA21" s="1"/>
      <c r="AB21" s="1"/>
      <c r="AD21" s="1"/>
      <c r="AE21" s="1"/>
      <c r="AF21" s="1"/>
      <c r="AG21" s="1"/>
      <c r="AI21" s="76"/>
      <c r="AJ21" s="76"/>
      <c r="AT21" s="4" t="s">
        <v>114</v>
      </c>
      <c r="AU21" s="108" t="s">
        <v>450</v>
      </c>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row>
    <row r="22" spans="1:79" ht="4.95" customHeight="1" x14ac:dyDescent="0.3">
      <c r="S22" s="81"/>
      <c r="AI22" s="13"/>
      <c r="AJ22" s="13"/>
      <c r="AV22" s="108"/>
      <c r="AW22" s="108"/>
      <c r="AX22" s="108"/>
      <c r="AY22" s="84"/>
      <c r="AZ22" s="84"/>
      <c r="BY22" s="37"/>
      <c r="BZ22" s="37"/>
      <c r="CA22" s="37"/>
    </row>
    <row r="23" spans="1:79" ht="15" customHeight="1" x14ac:dyDescent="0.3">
      <c r="B23" s="142">
        <f>'Form 2C.1 - Design'!B68</f>
        <v>0</v>
      </c>
      <c r="C23" s="103" t="s">
        <v>240</v>
      </c>
      <c r="M23" s="2" t="s">
        <v>250</v>
      </c>
      <c r="N23" s="237">
        <f>'Form 2C.1 - Design'!J69</f>
        <v>0</v>
      </c>
      <c r="O23" s="247"/>
      <c r="P23" s="247"/>
      <c r="Q23" s="247"/>
      <c r="R23" s="40" t="s">
        <v>249</v>
      </c>
      <c r="S23" s="81"/>
      <c r="U23" s="77"/>
      <c r="V23" s="103" t="s">
        <v>240</v>
      </c>
      <c r="AF23" s="2" t="s">
        <v>250</v>
      </c>
      <c r="AG23" s="179"/>
      <c r="AH23" s="179"/>
      <c r="AI23" s="179"/>
      <c r="AJ23" s="179"/>
      <c r="AK23" s="40" t="s">
        <v>249</v>
      </c>
      <c r="AM23" s="128">
        <f>IF(ISBLANK(U23),1,2)</f>
        <v>1</v>
      </c>
      <c r="AN23" s="128">
        <f>IF(AND(ISBLANK(U23),ISBLANK(U34)),1,2)</f>
        <v>1</v>
      </c>
      <c r="AU23" s="108" t="s">
        <v>352</v>
      </c>
      <c r="AV23" s="108"/>
      <c r="AW23" s="108"/>
      <c r="AX23" s="108"/>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row>
    <row r="24" spans="1:79" ht="15" customHeight="1" x14ac:dyDescent="0.3">
      <c r="F24" s="2" t="s">
        <v>181</v>
      </c>
      <c r="G24" s="239">
        <f>'Form 2C.1 - Design'!J68</f>
        <v>0</v>
      </c>
      <c r="H24" s="239"/>
      <c r="I24" s="239"/>
      <c r="J24" s="239"/>
      <c r="M24" s="2" t="s">
        <v>182</v>
      </c>
      <c r="N24" s="244">
        <f>'Form 2C.1 - Design'!S68</f>
        <v>0</v>
      </c>
      <c r="O24" s="244"/>
      <c r="P24" s="244"/>
      <c r="R24" s="1"/>
      <c r="S24" s="81"/>
      <c r="Y24" s="2" t="s">
        <v>181</v>
      </c>
      <c r="Z24" s="205"/>
      <c r="AA24" s="205"/>
      <c r="AB24" s="205"/>
      <c r="AC24" s="205"/>
      <c r="AF24" s="2" t="s">
        <v>182</v>
      </c>
      <c r="AG24" s="205"/>
      <c r="AH24" s="205"/>
      <c r="AI24" s="205"/>
      <c r="AK24" s="1"/>
      <c r="AT24" s="4" t="s">
        <v>115</v>
      </c>
      <c r="AU24" s="108" t="s">
        <v>353</v>
      </c>
      <c r="AV24" s="108"/>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row>
    <row r="25" spans="1:79" ht="15" customHeight="1" x14ac:dyDescent="0.3">
      <c r="F25" s="2" t="s">
        <v>183</v>
      </c>
      <c r="G25" s="181">
        <f>'Form 2C.1 - Design'!Z68</f>
        <v>0</v>
      </c>
      <c r="H25" s="181"/>
      <c r="I25" s="181"/>
      <c r="J25" s="40" t="s">
        <v>45</v>
      </c>
      <c r="M25" s="2" t="s">
        <v>242</v>
      </c>
      <c r="N25" s="234">
        <f>'Form 2C.1 - Design'!AG68</f>
        <v>0</v>
      </c>
      <c r="O25" s="240"/>
      <c r="P25" s="240"/>
      <c r="Q25" s="40" t="s">
        <v>45</v>
      </c>
      <c r="R25" s="1"/>
      <c r="S25" s="81"/>
      <c r="Y25" s="2" t="s">
        <v>183</v>
      </c>
      <c r="Z25" s="180"/>
      <c r="AA25" s="180"/>
      <c r="AB25" s="180"/>
      <c r="AC25" s="40" t="s">
        <v>45</v>
      </c>
      <c r="AF25" s="2" t="s">
        <v>242</v>
      </c>
      <c r="AG25" s="255"/>
      <c r="AH25" s="255"/>
      <c r="AI25" s="255"/>
      <c r="AJ25" s="40" t="s">
        <v>45</v>
      </c>
      <c r="AK25" s="1"/>
      <c r="AU25" s="108" t="s">
        <v>354</v>
      </c>
      <c r="AV25" s="108"/>
      <c r="AW25" s="108"/>
      <c r="AX25" s="108"/>
      <c r="AY25" s="84"/>
      <c r="AZ25" s="84"/>
      <c r="BA25"/>
      <c r="BB25"/>
      <c r="BC25"/>
      <c r="BD25"/>
      <c r="BE25"/>
      <c r="BF25"/>
      <c r="BG25"/>
      <c r="BH25"/>
      <c r="BI25"/>
      <c r="BJ25"/>
      <c r="BK25"/>
      <c r="BL25"/>
      <c r="BM25"/>
      <c r="BN25"/>
      <c r="BO25"/>
      <c r="BP25"/>
      <c r="BQ25"/>
      <c r="BR25"/>
      <c r="BS25"/>
      <c r="BT25"/>
      <c r="BU25"/>
      <c r="BV25"/>
      <c r="BW25" s="37"/>
      <c r="BX25" s="37"/>
      <c r="BY25" s="37"/>
      <c r="BZ25" s="37"/>
      <c r="CA25" s="37"/>
    </row>
    <row r="26" spans="1:79" ht="15" customHeight="1" x14ac:dyDescent="0.3">
      <c r="F26" s="2" t="s">
        <v>180</v>
      </c>
      <c r="G26" s="234">
        <f>'Form 2C.1 - Design'!S69</f>
        <v>0</v>
      </c>
      <c r="H26" s="240"/>
      <c r="I26" s="240"/>
      <c r="J26" s="40" t="s">
        <v>44</v>
      </c>
      <c r="R26" s="1"/>
      <c r="S26" s="81"/>
      <c r="Y26" s="2" t="s">
        <v>180</v>
      </c>
      <c r="Z26" s="182"/>
      <c r="AA26" s="182"/>
      <c r="AB26" s="182"/>
      <c r="AC26" s="40" t="s">
        <v>44</v>
      </c>
      <c r="AK26" s="1"/>
      <c r="AM26" s="128">
        <f>IF(ISBLANK(Z26),1,2)</f>
        <v>1</v>
      </c>
      <c r="AT26" s="4"/>
      <c r="AU26" s="97"/>
      <c r="AV26" s="97"/>
      <c r="AW26" s="108"/>
      <c r="AX26" s="108"/>
      <c r="AY26" s="84"/>
      <c r="AZ26" s="84"/>
      <c r="BW26" s="37"/>
      <c r="BX26" s="37"/>
      <c r="BY26" s="37"/>
      <c r="BZ26" s="37"/>
      <c r="CA26" s="37"/>
    </row>
    <row r="27" spans="1:79" ht="15" customHeight="1" x14ac:dyDescent="0.3">
      <c r="F27" s="2" t="s">
        <v>179</v>
      </c>
      <c r="G27" s="234">
        <f>'Form 2C.1 - Design'!Z69</f>
        <v>0</v>
      </c>
      <c r="H27" s="240"/>
      <c r="I27" s="240"/>
      <c r="J27" s="40" t="s">
        <v>45</v>
      </c>
      <c r="M27" s="2" t="s">
        <v>241</v>
      </c>
      <c r="N27" s="231">
        <f>'Form 2C.1 - Design'!AG69</f>
        <v>0</v>
      </c>
      <c r="O27" s="247"/>
      <c r="P27" s="247"/>
      <c r="Q27" s="40" t="s">
        <v>45</v>
      </c>
      <c r="R27" s="1"/>
      <c r="S27" s="81"/>
      <c r="Y27" s="2" t="s">
        <v>179</v>
      </c>
      <c r="Z27" s="182"/>
      <c r="AA27" s="182"/>
      <c r="AB27" s="182"/>
      <c r="AC27" s="40" t="s">
        <v>45</v>
      </c>
      <c r="AF27" s="2" t="s">
        <v>241</v>
      </c>
      <c r="AG27" s="176"/>
      <c r="AH27" s="176"/>
      <c r="AI27" s="176"/>
      <c r="AJ27" s="40" t="s">
        <v>45</v>
      </c>
      <c r="AK27" s="1"/>
      <c r="AM27" s="128">
        <f>IF(AND(ISBLANK(Z27),ISBLANK(AG27)),1,2)</f>
        <v>1</v>
      </c>
      <c r="AS27" s="25">
        <v>3</v>
      </c>
      <c r="AT27" s="97" t="s">
        <v>103</v>
      </c>
      <c r="AW27" s="97"/>
      <c r="AX27" s="97"/>
      <c r="AY27"/>
      <c r="AZ27"/>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row>
    <row r="28" spans="1:79" ht="4.95" customHeight="1" x14ac:dyDescent="0.3">
      <c r="S28" s="81"/>
      <c r="AI28" s="13"/>
      <c r="AJ28" s="13"/>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row>
    <row r="29" spans="1:79" ht="15" customHeight="1" x14ac:dyDescent="0.3">
      <c r="B29" s="104" t="s">
        <v>438</v>
      </c>
      <c r="K29" s="142">
        <f>'Form 2C.1 - Design'!J71</f>
        <v>0</v>
      </c>
      <c r="L29" s="40" t="s">
        <v>400</v>
      </c>
      <c r="S29" s="81"/>
      <c r="U29" s="104" t="s">
        <v>438</v>
      </c>
      <c r="AC29" s="77"/>
      <c r="AD29" s="40" t="s">
        <v>400</v>
      </c>
      <c r="AK29" s="1"/>
      <c r="AM29" s="128">
        <f>IF(ISBLANK(AC29),1,2)</f>
        <v>1</v>
      </c>
      <c r="AT29" s="4" t="s">
        <v>101</v>
      </c>
      <c r="AU29" s="108" t="s">
        <v>355</v>
      </c>
      <c r="AV29" s="108"/>
      <c r="AW29" s="108"/>
      <c r="AX29" s="108"/>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row>
    <row r="30" spans="1:79" ht="4.95" customHeight="1" x14ac:dyDescent="0.3">
      <c r="S30" s="81"/>
      <c r="AU30" s="108"/>
      <c r="AV30" s="108"/>
      <c r="AW30" s="108"/>
      <c r="AX30" s="108"/>
      <c r="AY30" s="84"/>
      <c r="AZ30" s="84"/>
      <c r="BX30" s="37"/>
      <c r="BY30" s="37"/>
      <c r="BZ30" s="37"/>
      <c r="CA30" s="37"/>
    </row>
    <row r="31" spans="1:79" ht="15" customHeight="1" x14ac:dyDescent="0.3">
      <c r="E31" s="2" t="s">
        <v>181</v>
      </c>
      <c r="F31" s="239">
        <f>'Form 2C.1 - Design'!Q71</f>
        <v>0</v>
      </c>
      <c r="G31" s="239"/>
      <c r="H31" s="239"/>
      <c r="I31" s="239"/>
      <c r="R31" s="1"/>
      <c r="S31" s="81"/>
      <c r="X31" s="2" t="s">
        <v>181</v>
      </c>
      <c r="Y31" s="205"/>
      <c r="Z31" s="205"/>
      <c r="AA31" s="205"/>
      <c r="AB31" s="205"/>
      <c r="AU31" s="108" t="s">
        <v>356</v>
      </c>
      <c r="AV31" s="108"/>
      <c r="AW31" s="108"/>
      <c r="AX31" s="108"/>
      <c r="AY31" s="84"/>
      <c r="AZ31" s="84"/>
      <c r="BA31"/>
      <c r="BB31"/>
      <c r="BC31"/>
      <c r="BD31"/>
      <c r="BE31"/>
      <c r="BF31"/>
      <c r="BG31"/>
      <c r="BH31"/>
      <c r="BI31"/>
      <c r="BJ31"/>
      <c r="BK31"/>
      <c r="BL31"/>
      <c r="BM31"/>
      <c r="BN31"/>
      <c r="BO31"/>
      <c r="BP31"/>
      <c r="BQ31"/>
      <c r="BR31"/>
      <c r="BS31"/>
      <c r="BT31"/>
      <c r="BU31"/>
      <c r="BV31"/>
      <c r="BX31" s="37"/>
      <c r="BY31" s="37"/>
      <c r="BZ31" s="37"/>
      <c r="CA31" s="37"/>
    </row>
    <row r="32" spans="1:79" ht="15" customHeight="1" x14ac:dyDescent="0.3">
      <c r="E32" s="2" t="s">
        <v>180</v>
      </c>
      <c r="F32" s="233">
        <f>'Form 2C.1 - Design'!Z71</f>
        <v>0</v>
      </c>
      <c r="G32" s="233"/>
      <c r="H32" s="233"/>
      <c r="I32" s="40" t="s">
        <v>44</v>
      </c>
      <c r="N32" s="2" t="s">
        <v>449</v>
      </c>
      <c r="O32" s="247">
        <f>'Form 2C.1 - Design'!Q73</f>
        <v>0</v>
      </c>
      <c r="P32" s="247"/>
      <c r="Q32" s="247"/>
      <c r="R32" s="40" t="s">
        <v>263</v>
      </c>
      <c r="S32" s="81"/>
      <c r="X32" s="2" t="s">
        <v>180</v>
      </c>
      <c r="Y32" s="182"/>
      <c r="Z32" s="182"/>
      <c r="AA32" s="182"/>
      <c r="AB32" s="40" t="s">
        <v>44</v>
      </c>
      <c r="AG32" s="2" t="s">
        <v>449</v>
      </c>
      <c r="AH32" s="177"/>
      <c r="AI32" s="177"/>
      <c r="AJ32" s="177"/>
      <c r="AK32" s="40" t="s">
        <v>263</v>
      </c>
      <c r="AM32" s="128">
        <f>IF(ISBLANK(AH32),1,2)</f>
        <v>1</v>
      </c>
      <c r="AT32" s="4" t="s">
        <v>102</v>
      </c>
      <c r="AU32" s="97" t="s">
        <v>110</v>
      </c>
      <c r="BA32" s="41"/>
      <c r="BB32" s="41"/>
      <c r="BC32" s="41"/>
      <c r="BD32" s="41"/>
      <c r="BE32" s="41"/>
      <c r="BF32" s="41"/>
      <c r="BG32" s="41"/>
      <c r="BH32" s="41"/>
      <c r="BI32" s="41"/>
      <c r="BJ32" s="41"/>
      <c r="BK32" s="41"/>
      <c r="BL32" s="41"/>
      <c r="BM32" s="41"/>
      <c r="BN32" s="41"/>
      <c r="BO32" s="41"/>
      <c r="BP32" s="41"/>
      <c r="BQ32" s="41"/>
      <c r="BR32" s="41"/>
      <c r="BS32" s="41"/>
      <c r="BT32" s="41"/>
      <c r="BU32" s="41"/>
      <c r="BV32" s="41"/>
      <c r="BX32" s="37"/>
      <c r="BY32" s="37"/>
      <c r="BZ32" s="37"/>
      <c r="CA32" s="37"/>
    </row>
    <row r="33" spans="2:79" ht="4.95" customHeight="1" x14ac:dyDescent="0.3">
      <c r="S33" s="81"/>
      <c r="AI33" s="13"/>
      <c r="AJ33" s="13"/>
      <c r="AV33" s="97"/>
      <c r="AW33" s="97"/>
      <c r="AX33" s="97"/>
      <c r="AY33"/>
      <c r="AZ33"/>
      <c r="BX33" s="37"/>
      <c r="BY33" s="37"/>
      <c r="BZ33" s="37"/>
      <c r="CA33" s="37"/>
    </row>
    <row r="34" spans="2:79" ht="15" customHeight="1" x14ac:dyDescent="0.3">
      <c r="B34" s="142">
        <f>'Form 2C.1 - Design'!B75</f>
        <v>0</v>
      </c>
      <c r="C34" s="103" t="s">
        <v>243</v>
      </c>
      <c r="S34" s="81"/>
      <c r="U34" s="77"/>
      <c r="V34" s="103" t="s">
        <v>243</v>
      </c>
      <c r="AM34" s="128">
        <f>IF(ISBLANK(U34),1,2)</f>
        <v>1</v>
      </c>
      <c r="AU34" s="124" t="s">
        <v>116</v>
      </c>
      <c r="AV34" s="97" t="s">
        <v>329</v>
      </c>
      <c r="AW34" s="124"/>
      <c r="AX34" s="124"/>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X34" s="37"/>
      <c r="BY34" s="37"/>
      <c r="BZ34" s="37"/>
      <c r="CA34" s="37"/>
    </row>
    <row r="35" spans="2:79" ht="4.95" customHeight="1" x14ac:dyDescent="0.3">
      <c r="S35" s="81"/>
      <c r="BX35" s="37"/>
      <c r="BY35" s="37"/>
      <c r="BZ35" s="37"/>
      <c r="CA35" s="37"/>
    </row>
    <row r="36" spans="2:79" ht="15" customHeight="1" x14ac:dyDescent="0.3">
      <c r="C36" s="142">
        <f>'Form 2C.1 - Design'!K75</f>
        <v>0</v>
      </c>
      <c r="D36" s="40" t="s">
        <v>245</v>
      </c>
      <c r="G36" s="142">
        <f>'Form 2C.1 - Design'!O75</f>
        <v>0</v>
      </c>
      <c r="H36" s="40" t="s">
        <v>246</v>
      </c>
      <c r="M36" s="2" t="s">
        <v>248</v>
      </c>
      <c r="N36" s="239">
        <f>'Form 2C.1 - Design'!K79</f>
        <v>0</v>
      </c>
      <c r="O36" s="239"/>
      <c r="P36" s="239"/>
      <c r="Q36" s="239"/>
      <c r="R36" s="239"/>
      <c r="S36" s="81"/>
      <c r="V36" s="77"/>
      <c r="W36" s="40" t="s">
        <v>245</v>
      </c>
      <c r="Z36" s="77"/>
      <c r="AA36" s="40" t="s">
        <v>246</v>
      </c>
      <c r="AF36" s="2" t="s">
        <v>248</v>
      </c>
      <c r="AG36" s="205"/>
      <c r="AH36" s="205"/>
      <c r="AI36" s="205"/>
      <c r="AJ36" s="205"/>
      <c r="AK36" s="205"/>
      <c r="AM36" s="128">
        <f>IF(AND(ISBLANK(V36),ISBLANK(Z36),ISBLANK(V38),ISBLANK(Z38),ISBLANK(V40)),1,2)</f>
        <v>1</v>
      </c>
      <c r="AU36" s="124" t="s">
        <v>116</v>
      </c>
      <c r="AV36" s="97" t="s">
        <v>141</v>
      </c>
      <c r="AW36" s="124"/>
      <c r="AX36" s="124"/>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X36" s="37"/>
      <c r="BY36" s="37"/>
      <c r="BZ36" s="37"/>
      <c r="CA36" s="37"/>
    </row>
    <row r="37" spans="2:79" ht="4.95" customHeight="1" x14ac:dyDescent="0.3">
      <c r="S37" s="81"/>
      <c r="BX37" s="37"/>
      <c r="BY37" s="37"/>
      <c r="BZ37" s="37"/>
      <c r="CA37" s="37"/>
    </row>
    <row r="38" spans="2:79" ht="15" customHeight="1" x14ac:dyDescent="0.3">
      <c r="C38" s="142">
        <f>'Form 2C.1 - Design'!T75</f>
        <v>0</v>
      </c>
      <c r="D38" s="40" t="s">
        <v>434</v>
      </c>
      <c r="G38" s="143">
        <f>'Form 2C.1 - Design'!Y75</f>
        <v>0</v>
      </c>
      <c r="H38" s="40" t="s">
        <v>437</v>
      </c>
      <c r="S38" s="81"/>
      <c r="V38" s="77"/>
      <c r="W38" s="40" t="s">
        <v>434</v>
      </c>
      <c r="Z38" s="77"/>
      <c r="AA38" s="40" t="s">
        <v>437</v>
      </c>
      <c r="AU38" s="124" t="s">
        <v>116</v>
      </c>
      <c r="AV38" s="40" t="s">
        <v>189</v>
      </c>
      <c r="BX38" s="37"/>
      <c r="BY38" s="37"/>
      <c r="BZ38" s="37"/>
      <c r="CA38" s="37"/>
    </row>
    <row r="39" spans="2:79" ht="4.95" customHeight="1" x14ac:dyDescent="0.3">
      <c r="S39" s="81"/>
      <c r="BX39" s="37"/>
      <c r="BY39" s="37"/>
      <c r="BZ39" s="37"/>
      <c r="CA39" s="37"/>
    </row>
    <row r="40" spans="2:79" ht="15" customHeight="1" x14ac:dyDescent="0.3">
      <c r="C40" s="142">
        <f>'Form 2C.1 - Design'!Y77</f>
        <v>0</v>
      </c>
      <c r="D40" s="40" t="s">
        <v>247</v>
      </c>
      <c r="G40" s="239">
        <f>'Form 2C.1 - Design'!AC77</f>
        <v>0</v>
      </c>
      <c r="H40" s="239"/>
      <c r="I40" s="239"/>
      <c r="J40" s="239"/>
      <c r="K40" s="239"/>
      <c r="L40" s="239"/>
      <c r="M40" s="239"/>
      <c r="N40" s="239"/>
      <c r="O40" s="239"/>
      <c r="P40" s="239"/>
      <c r="Q40" s="239"/>
      <c r="R40" s="239"/>
      <c r="S40" s="81"/>
      <c r="V40" s="77"/>
      <c r="W40" s="40" t="s">
        <v>247</v>
      </c>
      <c r="X40" s="2"/>
      <c r="Z40" s="205"/>
      <c r="AA40" s="205"/>
      <c r="AB40" s="205"/>
      <c r="AC40" s="205"/>
      <c r="AD40" s="205"/>
      <c r="AE40" s="205"/>
      <c r="AF40" s="205"/>
      <c r="AG40" s="205"/>
      <c r="AH40" s="205"/>
      <c r="AI40" s="205"/>
      <c r="AJ40" s="205"/>
      <c r="AK40" s="205"/>
      <c r="AM40" s="128">
        <f>IF(ISBLANK(V40),1,2)</f>
        <v>1</v>
      </c>
      <c r="AU40" s="124" t="s">
        <v>116</v>
      </c>
      <c r="AV40" s="40" t="str">
        <f>Tables!C24</f>
        <v xml:space="preserve"> O&amp;M Agreement</v>
      </c>
      <c r="AW40" s="124"/>
      <c r="AX40" s="124"/>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X40" s="37"/>
      <c r="BY40" s="37"/>
      <c r="BZ40" s="37"/>
      <c r="CA40" s="37"/>
    </row>
    <row r="41" spans="2:79" ht="4.95" customHeight="1" x14ac:dyDescent="0.3">
      <c r="G41" s="85"/>
      <c r="H41" s="85"/>
      <c r="I41" s="85"/>
      <c r="S41" s="81"/>
      <c r="Z41" s="85"/>
      <c r="AA41" s="85"/>
      <c r="AB41" s="85"/>
      <c r="BX41" s="37"/>
      <c r="BY41" s="37"/>
      <c r="BZ41" s="37"/>
      <c r="CA41" s="37"/>
    </row>
    <row r="42" spans="2:79" ht="15" customHeight="1" x14ac:dyDescent="0.3">
      <c r="E42" s="2" t="s">
        <v>251</v>
      </c>
      <c r="F42" s="142">
        <f>'Form 2C.1 - Design'!H81</f>
        <v>0</v>
      </c>
      <c r="G42" s="40" t="s">
        <v>130</v>
      </c>
      <c r="H42" s="2"/>
      <c r="I42" s="142">
        <f>'Form 2C.1 - Design'!K81</f>
        <v>0</v>
      </c>
      <c r="J42" s="40" t="s">
        <v>131</v>
      </c>
      <c r="M42" s="2" t="s">
        <v>248</v>
      </c>
      <c r="N42" s="239">
        <f>'Form 2C.1 - Design'!P81</f>
        <v>0</v>
      </c>
      <c r="O42" s="239"/>
      <c r="P42" s="239"/>
      <c r="Q42" s="239"/>
      <c r="R42" s="239"/>
      <c r="S42" s="81"/>
      <c r="X42" s="2" t="s">
        <v>251</v>
      </c>
      <c r="Y42" s="77"/>
      <c r="Z42" s="40" t="s">
        <v>130</v>
      </c>
      <c r="AA42" s="2"/>
      <c r="AB42" s="77"/>
      <c r="AC42" s="40" t="s">
        <v>131</v>
      </c>
      <c r="AF42" s="2" t="s">
        <v>248</v>
      </c>
      <c r="AG42" s="205"/>
      <c r="AH42" s="205"/>
      <c r="AI42" s="205"/>
      <c r="AJ42" s="205"/>
      <c r="AK42" s="205"/>
      <c r="AM42" s="128">
        <f>IF(AND(ISBLANK(Y42),ISBLANK(AB42)),1,2)</f>
        <v>1</v>
      </c>
      <c r="AN42" s="128">
        <f>IF(ISBLANK(Y42),1,2)</f>
        <v>1</v>
      </c>
      <c r="AS42" s="25">
        <v>4</v>
      </c>
      <c r="AT42" s="97" t="s">
        <v>98</v>
      </c>
      <c r="AW42" s="124"/>
      <c r="AX42" s="124"/>
      <c r="AY42" s="41"/>
      <c r="AZ42" s="41"/>
      <c r="BX42" s="37"/>
      <c r="BY42" s="37"/>
      <c r="BZ42" s="37"/>
      <c r="CA42" s="37"/>
    </row>
    <row r="43" spans="2:79" ht="4.95" customHeight="1" x14ac:dyDescent="0.3">
      <c r="E43" s="2"/>
      <c r="F43" s="2"/>
      <c r="G43" s="2"/>
      <c r="H43" s="2"/>
      <c r="I43" s="2"/>
      <c r="J43" s="2"/>
      <c r="S43" s="81"/>
      <c r="X43" s="2"/>
      <c r="Y43" s="2"/>
      <c r="Z43" s="2"/>
      <c r="AA43" s="2"/>
      <c r="AB43" s="2"/>
      <c r="AC43" s="2"/>
      <c r="BX43" s="37"/>
      <c r="BY43" s="37"/>
      <c r="BZ43" s="37"/>
      <c r="CA43" s="37"/>
    </row>
    <row r="44" spans="2:79" ht="15" customHeight="1" x14ac:dyDescent="0.3">
      <c r="E44" s="2" t="s">
        <v>252</v>
      </c>
      <c r="F44" s="142">
        <f>'Form 2C.1 - Design'!H83</f>
        <v>0</v>
      </c>
      <c r="G44" s="40" t="s">
        <v>130</v>
      </c>
      <c r="I44" s="142">
        <f>'Form 2C.1 - Design'!K83</f>
        <v>0</v>
      </c>
      <c r="J44" s="40" t="s">
        <v>131</v>
      </c>
      <c r="M44" s="2" t="s">
        <v>248</v>
      </c>
      <c r="N44" s="239">
        <f>'Form 2C.1 - Design'!P83</f>
        <v>0</v>
      </c>
      <c r="O44" s="239"/>
      <c r="P44" s="239"/>
      <c r="Q44" s="239"/>
      <c r="R44" s="239"/>
      <c r="S44" s="81"/>
      <c r="X44" s="2" t="s">
        <v>252</v>
      </c>
      <c r="Y44" s="77"/>
      <c r="Z44" s="40" t="s">
        <v>130</v>
      </c>
      <c r="AB44" s="77"/>
      <c r="AC44" s="40" t="s">
        <v>131</v>
      </c>
      <c r="AF44" s="2" t="s">
        <v>248</v>
      </c>
      <c r="AG44" s="205"/>
      <c r="AH44" s="205"/>
      <c r="AI44" s="205"/>
      <c r="AJ44" s="205"/>
      <c r="AK44" s="205"/>
      <c r="AM44" s="128">
        <f>IF(AND(ISBLANK(Y44),ISBLANK(AB44)),1,2)</f>
        <v>1</v>
      </c>
      <c r="AN44" s="128">
        <f>IF(ISBLANK(Y44),1,2)</f>
        <v>1</v>
      </c>
      <c r="AT44" s="4" t="s">
        <v>101</v>
      </c>
      <c r="AU44" s="40" t="s">
        <v>454</v>
      </c>
      <c r="BA44"/>
      <c r="BB44"/>
      <c r="BC44"/>
      <c r="BD44"/>
      <c r="BE44"/>
      <c r="BF44"/>
      <c r="BG44"/>
      <c r="BH44"/>
      <c r="BI44"/>
      <c r="BJ44"/>
      <c r="BK44"/>
      <c r="BL44"/>
      <c r="BM44"/>
      <c r="BN44"/>
      <c r="BO44"/>
      <c r="BP44"/>
      <c r="BQ44"/>
      <c r="BR44"/>
      <c r="BS44"/>
      <c r="BT44"/>
      <c r="BU44"/>
      <c r="BV44"/>
      <c r="BX44" s="37"/>
      <c r="BY44" s="37"/>
      <c r="BZ44" s="37"/>
      <c r="CA44" s="37"/>
    </row>
    <row r="45" spans="2:79" ht="4.95" customHeight="1" x14ac:dyDescent="0.3">
      <c r="S45" s="81"/>
      <c r="BX45" s="37"/>
      <c r="BY45" s="37"/>
      <c r="BZ45" s="37"/>
      <c r="CA45" s="37"/>
    </row>
    <row r="46" spans="2:79" ht="15" customHeight="1" x14ac:dyDescent="0.3">
      <c r="B46" s="104" t="s">
        <v>268</v>
      </c>
      <c r="J46" s="4" t="s">
        <v>258</v>
      </c>
      <c r="N46" s="40" t="s">
        <v>259</v>
      </c>
      <c r="S46" s="81"/>
      <c r="U46" s="104" t="s">
        <v>268</v>
      </c>
      <c r="AC46" s="4" t="s">
        <v>258</v>
      </c>
      <c r="AG46" s="40" t="s">
        <v>259</v>
      </c>
      <c r="AT46" s="4" t="s">
        <v>102</v>
      </c>
      <c r="AU46" s="40" t="s">
        <v>453</v>
      </c>
      <c r="AV46" s="97"/>
      <c r="AW46" s="97"/>
      <c r="AX46" s="97"/>
      <c r="AY46"/>
      <c r="AZ46"/>
      <c r="BA46"/>
      <c r="BB46"/>
      <c r="BC46"/>
      <c r="BD46"/>
      <c r="BE46"/>
      <c r="BF46"/>
      <c r="BG46"/>
      <c r="BH46"/>
      <c r="BI46"/>
      <c r="BJ46"/>
      <c r="BK46"/>
      <c r="BL46"/>
      <c r="BM46"/>
      <c r="BN46"/>
      <c r="BO46"/>
      <c r="BP46"/>
      <c r="BQ46"/>
      <c r="BR46"/>
      <c r="BS46"/>
      <c r="BT46"/>
      <c r="BU46"/>
      <c r="BV46"/>
      <c r="BX46" s="37"/>
      <c r="BY46" s="37"/>
      <c r="BZ46" s="37"/>
      <c r="CA46" s="37"/>
    </row>
    <row r="47" spans="2:79" ht="15" customHeight="1" x14ac:dyDescent="0.3">
      <c r="H47" s="2" t="s">
        <v>253</v>
      </c>
      <c r="I47" s="242">
        <f>'Form 2C.1 - Design'!O86</f>
        <v>0</v>
      </c>
      <c r="J47" s="247"/>
      <c r="K47" s="247"/>
      <c r="L47" s="40" t="s">
        <v>44</v>
      </c>
      <c r="N47" s="242">
        <f>'Form 2C.1 - Design'!T86</f>
        <v>0</v>
      </c>
      <c r="O47" s="247"/>
      <c r="P47" s="247"/>
      <c r="Q47" s="40" t="s">
        <v>45</v>
      </c>
      <c r="S47" s="81"/>
      <c r="AA47" s="2" t="s">
        <v>253</v>
      </c>
      <c r="AB47" s="176"/>
      <c r="AC47" s="176"/>
      <c r="AD47" s="176"/>
      <c r="AE47" s="40" t="s">
        <v>44</v>
      </c>
      <c r="AG47" s="176"/>
      <c r="AH47" s="176"/>
      <c r="AI47" s="176"/>
      <c r="AJ47" s="40" t="s">
        <v>45</v>
      </c>
      <c r="AT47" s="4" t="s">
        <v>114</v>
      </c>
      <c r="AU47" s="97" t="s">
        <v>289</v>
      </c>
      <c r="BA47"/>
      <c r="BB47"/>
      <c r="BC47"/>
      <c r="BD47"/>
      <c r="BE47"/>
      <c r="BF47"/>
      <c r="BG47"/>
      <c r="BH47"/>
      <c r="BI47"/>
      <c r="BJ47"/>
      <c r="BK47"/>
      <c r="BL47"/>
      <c r="BM47"/>
      <c r="BN47"/>
      <c r="BO47"/>
      <c r="BP47"/>
      <c r="BQ47"/>
      <c r="BR47"/>
      <c r="BS47"/>
      <c r="BT47"/>
      <c r="BU47"/>
      <c r="BV47"/>
      <c r="BX47" s="37"/>
      <c r="BY47" s="37"/>
      <c r="BZ47" s="37"/>
      <c r="CA47" s="37"/>
    </row>
    <row r="48" spans="2:79" ht="15" customHeight="1" x14ac:dyDescent="0.3">
      <c r="H48" s="2" t="s">
        <v>254</v>
      </c>
      <c r="I48" s="242">
        <f>'Form 2C.1 - Design'!O87</f>
        <v>0</v>
      </c>
      <c r="J48" s="247"/>
      <c r="K48" s="247"/>
      <c r="L48" s="40" t="s">
        <v>44</v>
      </c>
      <c r="N48" s="242">
        <f>'Form 2C.1 - Design'!T87</f>
        <v>0</v>
      </c>
      <c r="O48" s="247"/>
      <c r="P48" s="247"/>
      <c r="Q48" s="40" t="s">
        <v>45</v>
      </c>
      <c r="S48" s="81"/>
      <c r="AA48" s="2" t="s">
        <v>254</v>
      </c>
      <c r="AB48" s="182"/>
      <c r="AC48" s="182"/>
      <c r="AD48" s="182"/>
      <c r="AE48" s="40" t="s">
        <v>44</v>
      </c>
      <c r="AG48" s="182"/>
      <c r="AH48" s="182"/>
      <c r="AI48" s="182"/>
      <c r="AJ48" s="40" t="s">
        <v>45</v>
      </c>
      <c r="AT48" s="4" t="s">
        <v>115</v>
      </c>
      <c r="AU48" s="97" t="s">
        <v>106</v>
      </c>
      <c r="AV48" s="97"/>
      <c r="AW48" s="97"/>
      <c r="AX48" s="97"/>
      <c r="AY48"/>
      <c r="AZ48"/>
      <c r="BA48"/>
      <c r="BB48"/>
      <c r="BC48"/>
      <c r="BD48"/>
      <c r="BE48"/>
      <c r="BF48"/>
      <c r="BG48"/>
      <c r="BH48"/>
      <c r="BI48"/>
      <c r="BJ48"/>
      <c r="BK48"/>
      <c r="BL48"/>
      <c r="BM48"/>
      <c r="BN48"/>
      <c r="BO48"/>
      <c r="BP48"/>
      <c r="BQ48"/>
      <c r="BR48"/>
      <c r="BS48"/>
      <c r="BT48"/>
      <c r="BU48"/>
      <c r="BV48"/>
      <c r="BX48" s="37"/>
      <c r="BY48" s="37"/>
      <c r="BZ48" s="37"/>
      <c r="CA48" s="37"/>
    </row>
    <row r="49" spans="2:79" ht="15" customHeight="1" x14ac:dyDescent="0.3">
      <c r="H49" s="2" t="s">
        <v>255</v>
      </c>
      <c r="I49" s="242">
        <f>'Form 2C.1 - Design'!O88</f>
        <v>0</v>
      </c>
      <c r="J49" s="247"/>
      <c r="K49" s="247"/>
      <c r="L49" s="40" t="s">
        <v>44</v>
      </c>
      <c r="N49" s="242">
        <f>'Form 2C.1 - Design'!T88</f>
        <v>0</v>
      </c>
      <c r="O49" s="247"/>
      <c r="P49" s="247"/>
      <c r="Q49" s="40" t="s">
        <v>45</v>
      </c>
      <c r="S49" s="81"/>
      <c r="AA49" s="2" t="s">
        <v>255</v>
      </c>
      <c r="AB49" s="182"/>
      <c r="AC49" s="182"/>
      <c r="AD49" s="182"/>
      <c r="AE49" s="40" t="s">
        <v>44</v>
      </c>
      <c r="AG49" s="182"/>
      <c r="AH49" s="182"/>
      <c r="AI49" s="182"/>
      <c r="AJ49" s="40" t="s">
        <v>45</v>
      </c>
      <c r="AT49" s="4" t="s">
        <v>113</v>
      </c>
      <c r="AU49" s="97" t="s">
        <v>107</v>
      </c>
      <c r="AV49" s="97"/>
      <c r="AW49" s="97"/>
      <c r="AX49" s="97"/>
      <c r="AY49"/>
      <c r="AZ49"/>
      <c r="BA49"/>
      <c r="BB49"/>
      <c r="BC49"/>
      <c r="BD49"/>
      <c r="BE49"/>
      <c r="BF49"/>
      <c r="BG49"/>
      <c r="BH49"/>
      <c r="BI49"/>
      <c r="BJ49"/>
      <c r="BK49"/>
      <c r="BL49"/>
      <c r="BM49"/>
      <c r="BN49"/>
      <c r="BO49"/>
      <c r="BP49"/>
      <c r="BQ49"/>
      <c r="BR49"/>
      <c r="BS49"/>
      <c r="BT49"/>
      <c r="BU49"/>
      <c r="BV49"/>
      <c r="BX49" s="37"/>
      <c r="BY49" s="37"/>
      <c r="BZ49" s="37"/>
      <c r="CA49" s="37"/>
    </row>
    <row r="50" spans="2:79" ht="15" customHeight="1" x14ac:dyDescent="0.3">
      <c r="H50" s="2" t="s">
        <v>256</v>
      </c>
      <c r="I50" s="242">
        <f>'Form 2C.1 - Design'!O89</f>
        <v>0</v>
      </c>
      <c r="J50" s="247"/>
      <c r="K50" s="247"/>
      <c r="L50" s="40" t="s">
        <v>44</v>
      </c>
      <c r="N50" s="242">
        <f>'Form 2C.1 - Design'!T89</f>
        <v>0</v>
      </c>
      <c r="O50" s="247"/>
      <c r="P50" s="247"/>
      <c r="Q50" s="40" t="s">
        <v>45</v>
      </c>
      <c r="S50" s="81"/>
      <c r="AA50" s="2" t="s">
        <v>256</v>
      </c>
      <c r="AB50" s="182"/>
      <c r="AC50" s="182"/>
      <c r="AD50" s="182"/>
      <c r="AE50" s="40" t="s">
        <v>44</v>
      </c>
      <c r="AG50" s="182"/>
      <c r="AH50" s="182"/>
      <c r="AI50" s="182"/>
      <c r="AJ50" s="40" t="s">
        <v>45</v>
      </c>
      <c r="AT50" s="4" t="s">
        <v>451</v>
      </c>
      <c r="AU50" s="97" t="s">
        <v>108</v>
      </c>
      <c r="AV50" s="97"/>
      <c r="AW50" s="97"/>
      <c r="AX50" s="97"/>
      <c r="AY50"/>
      <c r="AZ50"/>
      <c r="BX50" s="37"/>
      <c r="BY50" s="37"/>
      <c r="BZ50" s="37"/>
      <c r="CA50" s="37"/>
    </row>
    <row r="51" spans="2:79" ht="15" customHeight="1" x14ac:dyDescent="0.3">
      <c r="H51" s="2" t="s">
        <v>257</v>
      </c>
      <c r="I51" s="242">
        <f>'Form 2C.1 - Design'!O90</f>
        <v>0</v>
      </c>
      <c r="J51" s="247"/>
      <c r="K51" s="247"/>
      <c r="L51" s="40" t="s">
        <v>44</v>
      </c>
      <c r="N51" s="242">
        <f>'Form 2C.1 - Design'!T90</f>
        <v>0</v>
      </c>
      <c r="O51" s="247"/>
      <c r="P51" s="247"/>
      <c r="Q51" s="40" t="s">
        <v>45</v>
      </c>
      <c r="S51" s="81"/>
      <c r="AA51" s="2" t="s">
        <v>257</v>
      </c>
      <c r="AB51" s="182"/>
      <c r="AC51" s="182"/>
      <c r="AD51" s="182"/>
      <c r="AE51" s="40" t="s">
        <v>44</v>
      </c>
      <c r="AG51" s="182"/>
      <c r="AH51" s="182"/>
      <c r="AI51" s="182"/>
      <c r="AJ51" s="40" t="s">
        <v>45</v>
      </c>
      <c r="AT51" s="4" t="s">
        <v>452</v>
      </c>
      <c r="AU51" s="97" t="s">
        <v>290</v>
      </c>
      <c r="AV51" s="97"/>
      <c r="AW51" s="97"/>
      <c r="AX51" s="97"/>
      <c r="AY51"/>
      <c r="AZ51"/>
      <c r="BA51"/>
      <c r="BB51"/>
      <c r="BC51"/>
      <c r="BD51"/>
      <c r="BE51"/>
      <c r="BF51"/>
      <c r="BG51"/>
      <c r="BH51"/>
      <c r="BI51"/>
      <c r="BJ51"/>
      <c r="BK51"/>
      <c r="BL51"/>
      <c r="BM51"/>
      <c r="BN51"/>
      <c r="BO51"/>
      <c r="BP51"/>
      <c r="BQ51"/>
      <c r="BR51"/>
      <c r="BS51"/>
      <c r="BT51"/>
      <c r="BU51"/>
      <c r="BV51"/>
      <c r="BW51"/>
      <c r="BX51" s="37"/>
      <c r="BY51" s="37"/>
      <c r="BZ51" s="37"/>
      <c r="CA51" s="37"/>
    </row>
    <row r="52" spans="2:79" ht="15" customHeight="1" x14ac:dyDescent="0.3">
      <c r="B52" s="104" t="s">
        <v>267</v>
      </c>
      <c r="I52" s="184" t="s">
        <v>271</v>
      </c>
      <c r="J52" s="184"/>
      <c r="K52" s="184"/>
      <c r="N52" s="40" t="s">
        <v>272</v>
      </c>
      <c r="S52" s="81"/>
      <c r="U52" s="104" t="s">
        <v>267</v>
      </c>
      <c r="AB52" s="40" t="s">
        <v>271</v>
      </c>
      <c r="AG52" s="40" t="s">
        <v>272</v>
      </c>
      <c r="AS52" s="25">
        <v>5</v>
      </c>
      <c r="AT52" s="97" t="str">
        <f>"Form 3C – Underground Detention Pond As-built Certification Form shall be approved by the "&amp;Tables!C23&amp;" prior to:"</f>
        <v>Form 3C – Underground Detention Pond As-built Certification Form shall be approved by the City prior to:</v>
      </c>
      <c r="AV52" s="97"/>
      <c r="AW52" s="97"/>
      <c r="AX52" s="97"/>
      <c r="AY52"/>
      <c r="AZ52"/>
      <c r="BW52" s="37"/>
      <c r="BX52" s="37"/>
      <c r="BY52" s="37"/>
      <c r="BZ52" s="37"/>
      <c r="CA52" s="37"/>
    </row>
    <row r="53" spans="2:79" ht="15" customHeight="1" x14ac:dyDescent="0.3">
      <c r="H53" s="2" t="s">
        <v>278</v>
      </c>
      <c r="I53" s="257">
        <f>'Form 2C.1 - Design'!O93</f>
        <v>0</v>
      </c>
      <c r="J53" s="257"/>
      <c r="K53" s="257"/>
      <c r="L53" s="40" t="s">
        <v>263</v>
      </c>
      <c r="N53" s="169">
        <f>'Form 2C.1 - Design'!O94</f>
        <v>0</v>
      </c>
      <c r="O53" s="111"/>
      <c r="P53" s="111"/>
      <c r="Q53" s="40" t="s">
        <v>263</v>
      </c>
      <c r="S53" s="106"/>
      <c r="AA53" s="2" t="s">
        <v>278</v>
      </c>
      <c r="AB53" s="183"/>
      <c r="AC53" s="183"/>
      <c r="AD53" s="183"/>
      <c r="AE53" s="40" t="s">
        <v>263</v>
      </c>
      <c r="AG53" s="183"/>
      <c r="AH53" s="183"/>
      <c r="AI53" s="183"/>
      <c r="AJ53" s="40" t="s">
        <v>263</v>
      </c>
      <c r="AT53" s="4" t="s">
        <v>101</v>
      </c>
      <c r="AU53" s="97" t="s">
        <v>112</v>
      </c>
      <c r="AV53" s="97"/>
      <c r="AW53" s="97"/>
      <c r="AX53" s="97"/>
      <c r="AY53"/>
      <c r="AZ53"/>
      <c r="BW53"/>
      <c r="BX53" s="37"/>
      <c r="BY53" s="37"/>
      <c r="BZ53" s="37"/>
      <c r="CA53" s="37"/>
    </row>
    <row r="54" spans="2:79" ht="15" customHeight="1" x14ac:dyDescent="0.3">
      <c r="H54" s="2" t="s">
        <v>447</v>
      </c>
      <c r="I54" s="258">
        <f>'Form 2C.1 - Design'!T93</f>
        <v>0</v>
      </c>
      <c r="J54" s="258"/>
      <c r="K54" s="258"/>
      <c r="L54" s="40" t="s">
        <v>45</v>
      </c>
      <c r="N54" s="170">
        <f>'Form 2C.1 - Design'!T94</f>
        <v>0</v>
      </c>
      <c r="O54" s="170"/>
      <c r="P54" s="170"/>
      <c r="Q54" s="40" t="s">
        <v>45</v>
      </c>
      <c r="S54" s="106"/>
      <c r="AA54" s="2" t="s">
        <v>447</v>
      </c>
      <c r="AB54" s="255"/>
      <c r="AC54" s="255"/>
      <c r="AD54" s="255"/>
      <c r="AE54" s="40" t="s">
        <v>45</v>
      </c>
      <c r="AG54" s="255"/>
      <c r="AH54" s="255"/>
      <c r="AI54" s="255"/>
      <c r="AJ54" s="40" t="s">
        <v>45</v>
      </c>
      <c r="AT54" s="4" t="s">
        <v>102</v>
      </c>
      <c r="AU54" s="97" t="s">
        <v>109</v>
      </c>
      <c r="BX54" s="37"/>
      <c r="BY54" s="37"/>
      <c r="BZ54" s="37"/>
      <c r="CA54" s="37"/>
    </row>
    <row r="55" spans="2:79" ht="15" customHeight="1" x14ac:dyDescent="0.3">
      <c r="H55" s="2" t="s">
        <v>448</v>
      </c>
      <c r="I55" s="181">
        <f>'Form 2C.1 - Design'!Y93</f>
        <v>0</v>
      </c>
      <c r="J55" s="181"/>
      <c r="K55" s="181"/>
      <c r="L55" s="40" t="s">
        <v>249</v>
      </c>
      <c r="N55" s="171">
        <f>'Form 2C.1 - Design'!Y94</f>
        <v>0</v>
      </c>
      <c r="O55" s="172"/>
      <c r="P55" s="172"/>
      <c r="Q55" s="40" t="s">
        <v>249</v>
      </c>
      <c r="S55" s="106"/>
      <c r="AA55" s="2" t="s">
        <v>448</v>
      </c>
      <c r="AB55" s="180"/>
      <c r="AC55" s="180"/>
      <c r="AD55" s="180"/>
      <c r="AE55" s="40" t="s">
        <v>249</v>
      </c>
      <c r="AG55" s="180"/>
      <c r="AH55" s="180"/>
      <c r="AI55" s="180"/>
      <c r="AJ55" s="40" t="s">
        <v>249</v>
      </c>
      <c r="BX55" s="37"/>
      <c r="BY55" s="37"/>
      <c r="BZ55" s="37"/>
      <c r="CA55" s="37"/>
    </row>
    <row r="56" spans="2:79" ht="15" customHeight="1" x14ac:dyDescent="0.3">
      <c r="H56" s="2" t="s">
        <v>279</v>
      </c>
      <c r="I56" s="233">
        <f>'Form 2C.1 - Design'!AD93</f>
        <v>0</v>
      </c>
      <c r="J56" s="233"/>
      <c r="K56" s="233"/>
      <c r="L56" s="40" t="s">
        <v>45</v>
      </c>
      <c r="N56" s="173">
        <f>'Form 2C.1 - Design'!AD94</f>
        <v>0</v>
      </c>
      <c r="O56" s="172"/>
      <c r="P56" s="172"/>
      <c r="Q56" s="40" t="s">
        <v>45</v>
      </c>
      <c r="S56" s="106"/>
      <c r="AA56" s="2" t="s">
        <v>279</v>
      </c>
      <c r="AB56" s="182"/>
      <c r="AC56" s="182"/>
      <c r="AD56" s="182"/>
      <c r="AE56" s="40" t="s">
        <v>45</v>
      </c>
      <c r="AG56" s="182"/>
      <c r="AH56" s="182"/>
      <c r="AI56" s="182"/>
      <c r="AJ56" s="40" t="s">
        <v>45</v>
      </c>
      <c r="BX56" s="37"/>
      <c r="BY56" s="37"/>
      <c r="BZ56" s="37"/>
      <c r="CA56" s="37"/>
    </row>
    <row r="57" spans="2:79" ht="15" customHeight="1" x14ac:dyDescent="0.3">
      <c r="K57" s="2" t="s">
        <v>446</v>
      </c>
      <c r="L57" s="242">
        <f>'Form 2C.1 - Design'!Y95</f>
        <v>0</v>
      </c>
      <c r="M57" s="242"/>
      <c r="N57" s="242"/>
      <c r="O57" s="40" t="s">
        <v>249</v>
      </c>
      <c r="P57" s="44"/>
      <c r="Q57" s="2"/>
      <c r="R57" s="2"/>
      <c r="S57" s="106"/>
      <c r="Z57" s="2"/>
      <c r="AA57" s="2"/>
      <c r="AB57" s="2"/>
      <c r="AC57" s="2"/>
      <c r="AD57" s="2" t="s">
        <v>446</v>
      </c>
      <c r="AE57" s="176"/>
      <c r="AF57" s="176"/>
      <c r="AG57" s="176"/>
      <c r="AH57" s="40" t="s">
        <v>249</v>
      </c>
      <c r="BX57" s="37"/>
      <c r="BY57" s="37"/>
      <c r="BZ57" s="37"/>
      <c r="CA57" s="37"/>
    </row>
    <row r="58" spans="2:79" ht="15" customHeight="1" x14ac:dyDescent="0.3">
      <c r="K58" s="2" t="s">
        <v>444</v>
      </c>
      <c r="L58" s="181">
        <f>'Form 2C.1 - Design'!Y96</f>
        <v>0</v>
      </c>
      <c r="M58" s="181"/>
      <c r="N58" s="181"/>
      <c r="O58" s="40" t="s">
        <v>249</v>
      </c>
      <c r="S58" s="81"/>
      <c r="AD58" s="2" t="s">
        <v>444</v>
      </c>
      <c r="AE58" s="181">
        <f>SUM(AB55,AG55,AE57)</f>
        <v>0</v>
      </c>
      <c r="AF58" s="181"/>
      <c r="AG58" s="181"/>
      <c r="AH58" s="40" t="s">
        <v>249</v>
      </c>
      <c r="BX58" s="37"/>
      <c r="BY58" s="37"/>
      <c r="BZ58" s="37"/>
      <c r="CA58" s="37"/>
    </row>
    <row r="59" spans="2:79" ht="15" customHeight="1" x14ac:dyDescent="0.3">
      <c r="AK59" s="45"/>
      <c r="BX59" s="37"/>
      <c r="BY59" s="37"/>
      <c r="BZ59" s="37"/>
      <c r="CA59" s="37"/>
    </row>
    <row r="60" spans="2:79" ht="15" customHeight="1" x14ac:dyDescent="0.3">
      <c r="B60" s="216">
        <f>Tables!$C$13</f>
        <v>45383</v>
      </c>
      <c r="C60" s="216"/>
      <c r="D60" s="216"/>
      <c r="E60" s="216"/>
      <c r="F60" s="216"/>
      <c r="G60" s="216"/>
      <c r="H60" s="216"/>
      <c r="R60" s="184" t="s">
        <v>411</v>
      </c>
      <c r="S60" s="184"/>
      <c r="T60" s="184"/>
      <c r="U60" s="184"/>
      <c r="AK60" s="45"/>
      <c r="BX60" s="37"/>
      <c r="BY60" s="37"/>
      <c r="BZ60" s="37"/>
      <c r="CA60" s="37"/>
    </row>
    <row r="61" spans="2:79" ht="15" customHeight="1" x14ac:dyDescent="0.3">
      <c r="C61" s="2" t="s">
        <v>1</v>
      </c>
      <c r="D61" s="187">
        <f>IF(ISBLANK($E$15),"",$E$15)</f>
        <v>0</v>
      </c>
      <c r="E61" s="187"/>
      <c r="F61" s="187"/>
      <c r="G61" s="187"/>
      <c r="H61" s="187"/>
      <c r="I61" s="187"/>
      <c r="J61" s="187"/>
      <c r="K61" s="187"/>
      <c r="L61" s="187"/>
      <c r="M61" s="187"/>
      <c r="N61" s="187"/>
      <c r="O61" s="187"/>
      <c r="P61" s="187"/>
      <c r="Q61" s="187"/>
      <c r="R61" s="187"/>
      <c r="S61" s="187"/>
      <c r="T61" s="187"/>
      <c r="U61" s="187"/>
      <c r="V61" s="187"/>
      <c r="W61" s="187"/>
      <c r="X61" s="187"/>
      <c r="Y61" s="187"/>
      <c r="Z61" s="187"/>
      <c r="AA61" s="51"/>
      <c r="AB61" s="51"/>
      <c r="AC61" s="51"/>
      <c r="AF61" s="2" t="s">
        <v>21</v>
      </c>
      <c r="AG61" s="188">
        <f>AF15</f>
        <v>0</v>
      </c>
      <c r="AH61" s="188"/>
      <c r="AI61" s="188"/>
      <c r="AJ61" s="188"/>
      <c r="AK61" s="188"/>
      <c r="BX61" s="37"/>
      <c r="BY61" s="37"/>
      <c r="BZ61" s="37"/>
      <c r="CA61" s="37"/>
    </row>
    <row r="62" spans="2:79" ht="15" customHeight="1" x14ac:dyDescent="0.3">
      <c r="H62" s="52"/>
      <c r="I62" s="52"/>
      <c r="J62" s="2"/>
      <c r="K62" s="2"/>
      <c r="L62" s="2"/>
      <c r="M62" s="52"/>
      <c r="N62" s="51"/>
      <c r="O62" s="51"/>
      <c r="P62" s="51"/>
      <c r="Q62" s="51"/>
      <c r="R62" s="51"/>
      <c r="S62" s="51"/>
      <c r="T62" s="51"/>
      <c r="U62" s="51"/>
      <c r="V62" s="51"/>
      <c r="W62" s="51"/>
      <c r="X62" s="51"/>
      <c r="Y62" s="51"/>
      <c r="Z62" s="51"/>
      <c r="AA62" s="51"/>
      <c r="AB62" s="51"/>
      <c r="AC62" s="51"/>
      <c r="AF62" s="2" t="s">
        <v>35</v>
      </c>
      <c r="AG62" s="189">
        <f>IF(ISBLANK($AF$16),"",$AF$16)</f>
        <v>0</v>
      </c>
      <c r="AH62" s="189"/>
      <c r="AI62" s="189"/>
      <c r="AJ62" s="189"/>
      <c r="AK62" s="189"/>
      <c r="BW62" s="37"/>
      <c r="BX62" s="37"/>
      <c r="BY62" s="37"/>
      <c r="BZ62" s="37"/>
      <c r="CA62" s="37"/>
    </row>
    <row r="63" spans="2:79" ht="15" customHeight="1" x14ac:dyDescent="0.3">
      <c r="B63" s="184" t="s">
        <v>416</v>
      </c>
      <c r="C63" s="184"/>
      <c r="D63" s="184"/>
      <c r="E63" s="184"/>
      <c r="F63" s="184"/>
      <c r="G63" s="184"/>
      <c r="H63" s="184"/>
      <c r="I63" s="52"/>
      <c r="K63" s="259" t="s">
        <v>535</v>
      </c>
      <c r="L63" s="184"/>
      <c r="M63" s="184"/>
      <c r="N63" s="184"/>
      <c r="O63" s="184"/>
      <c r="P63" s="184"/>
      <c r="Q63" s="184"/>
      <c r="R63" s="184"/>
      <c r="S63" s="51"/>
      <c r="T63" s="81"/>
      <c r="U63" s="51"/>
      <c r="V63" s="184" t="s">
        <v>416</v>
      </c>
      <c r="W63" s="184"/>
      <c r="X63" s="184"/>
      <c r="Y63" s="184"/>
      <c r="Z63" s="184"/>
      <c r="AA63" s="184"/>
      <c r="AB63" s="184"/>
      <c r="AC63" s="52"/>
      <c r="AD63" s="259" t="s">
        <v>535</v>
      </c>
      <c r="AE63" s="184"/>
      <c r="AF63" s="184"/>
      <c r="AG63" s="184"/>
      <c r="AH63" s="184"/>
      <c r="AI63" s="184"/>
      <c r="AJ63" s="184"/>
      <c r="AK63" s="184"/>
      <c r="AM63" s="15" t="s">
        <v>536</v>
      </c>
      <c r="AN63" s="128">
        <f>'Form 2C.1 - Design'!O97</f>
        <v>0</v>
      </c>
      <c r="BX63" s="37"/>
      <c r="BY63" s="37"/>
      <c r="BZ63" s="37"/>
      <c r="CA63" s="37"/>
    </row>
    <row r="64" spans="2:79" ht="15" customHeight="1" x14ac:dyDescent="0.3">
      <c r="C64" s="40" t="s">
        <v>530</v>
      </c>
      <c r="E64" s="40" t="s">
        <v>531</v>
      </c>
      <c r="H64" s="52"/>
      <c r="I64" s="52"/>
      <c r="K64" s="184" t="s">
        <v>43</v>
      </c>
      <c r="L64" s="184"/>
      <c r="M64" s="184"/>
      <c r="O64" s="51"/>
      <c r="P64" s="51" t="s">
        <v>264</v>
      </c>
      <c r="Q64" s="51"/>
      <c r="R64" s="51"/>
      <c r="S64" s="51"/>
      <c r="T64" s="81"/>
      <c r="U64" s="51"/>
      <c r="W64" s="40" t="s">
        <v>530</v>
      </c>
      <c r="Y64" s="40" t="s">
        <v>531</v>
      </c>
      <c r="AB64" s="52"/>
      <c r="AC64" s="52"/>
      <c r="AD64" s="184" t="s">
        <v>43</v>
      </c>
      <c r="AE64" s="184"/>
      <c r="AF64" s="184"/>
      <c r="AH64" s="51"/>
      <c r="AI64" s="51" t="s">
        <v>264</v>
      </c>
      <c r="AJ64" s="51"/>
      <c r="AK64" s="51"/>
      <c r="BX64" s="37"/>
      <c r="BY64" s="37"/>
      <c r="BZ64" s="37"/>
      <c r="CA64" s="37"/>
    </row>
    <row r="65" spans="1:81" ht="15" customHeight="1" x14ac:dyDescent="0.3">
      <c r="B65" s="262">
        <f>'Form 2C.1 - Design'!K99</f>
        <v>0</v>
      </c>
      <c r="C65" s="262"/>
      <c r="D65" s="262"/>
      <c r="F65" s="257">
        <f>'Form 2C.1 - Design'!O99</f>
        <v>0</v>
      </c>
      <c r="G65" s="257"/>
      <c r="H65" s="13" t="s">
        <v>44</v>
      </c>
      <c r="K65" s="242">
        <f>'Form 2C.1 - Design'!Y101</f>
        <v>0</v>
      </c>
      <c r="L65" s="247"/>
      <c r="M65" s="247"/>
      <c r="N65" s="40" t="s">
        <v>45</v>
      </c>
      <c r="O65" s="51"/>
      <c r="P65" s="237">
        <f>'Form 2C.1 - Design'!T101</f>
        <v>0</v>
      </c>
      <c r="Q65" s="237"/>
      <c r="R65" s="51" t="s">
        <v>44</v>
      </c>
      <c r="S65" s="51"/>
      <c r="T65" s="81"/>
      <c r="U65" s="51"/>
      <c r="V65" s="206"/>
      <c r="W65" s="206"/>
      <c r="X65" s="206"/>
      <c r="Z65" s="177"/>
      <c r="AA65" s="177"/>
      <c r="AB65" s="13" t="s">
        <v>44</v>
      </c>
      <c r="AD65" s="176"/>
      <c r="AE65" s="176"/>
      <c r="AF65" s="176"/>
      <c r="AG65" s="40" t="s">
        <v>45</v>
      </c>
      <c r="AH65" s="51"/>
      <c r="AI65" s="177"/>
      <c r="AJ65" s="177"/>
      <c r="AK65" s="51" t="s">
        <v>44</v>
      </c>
      <c r="AM65" s="128">
        <v>1</v>
      </c>
      <c r="AN65" s="128">
        <f>IF(AM65&lt;=$AN$63,2,1)</f>
        <v>1</v>
      </c>
      <c r="BX65" s="37"/>
      <c r="BY65" s="37"/>
      <c r="BZ65" s="37"/>
      <c r="CA65" s="37"/>
    </row>
    <row r="66" spans="1:81" ht="15" customHeight="1" x14ac:dyDescent="0.3">
      <c r="B66" s="263">
        <f>'Form 2C.1 - Design'!K103</f>
        <v>0</v>
      </c>
      <c r="C66" s="263"/>
      <c r="D66" s="263"/>
      <c r="F66" s="258">
        <f>'Form 2C.1 - Design'!O103</f>
        <v>0</v>
      </c>
      <c r="G66" s="258"/>
      <c r="H66" s="13" t="s">
        <v>44</v>
      </c>
      <c r="K66" s="233">
        <f>'Form 2C.1 - Design'!Y105</f>
        <v>0</v>
      </c>
      <c r="L66" s="240"/>
      <c r="M66" s="240"/>
      <c r="N66" s="40" t="s">
        <v>45</v>
      </c>
      <c r="O66" s="51"/>
      <c r="P66" s="181">
        <f>'Form 2C.1 - Design'!T105</f>
        <v>0</v>
      </c>
      <c r="Q66" s="181"/>
      <c r="R66" s="51" t="s">
        <v>44</v>
      </c>
      <c r="S66" s="51"/>
      <c r="T66" s="81"/>
      <c r="U66" s="51"/>
      <c r="V66" s="209"/>
      <c r="W66" s="209"/>
      <c r="X66" s="209"/>
      <c r="Z66" s="178"/>
      <c r="AA66" s="178"/>
      <c r="AB66" s="13" t="s">
        <v>44</v>
      </c>
      <c r="AD66" s="182"/>
      <c r="AE66" s="182"/>
      <c r="AF66" s="182"/>
      <c r="AG66" s="40" t="s">
        <v>45</v>
      </c>
      <c r="AH66" s="51"/>
      <c r="AI66" s="178"/>
      <c r="AJ66" s="178"/>
      <c r="AK66" s="51" t="s">
        <v>44</v>
      </c>
      <c r="AM66" s="128">
        <v>2</v>
      </c>
      <c r="AN66" s="128">
        <f t="shared" ref="AN66:AN67" si="0">IF(AM66&lt;=$AN$63,2,1)</f>
        <v>1</v>
      </c>
      <c r="BX66" s="37"/>
      <c r="BY66" s="37"/>
      <c r="BZ66" s="37"/>
      <c r="CA66" s="37"/>
    </row>
    <row r="67" spans="1:81" ht="15" customHeight="1" x14ac:dyDescent="0.3">
      <c r="B67" s="263">
        <f>'Form 2C.1 - Design'!K107</f>
        <v>0</v>
      </c>
      <c r="C67" s="263"/>
      <c r="D67" s="263"/>
      <c r="F67" s="258">
        <f>'Form 2C.1 - Design'!O107</f>
        <v>0</v>
      </c>
      <c r="G67" s="258"/>
      <c r="H67" s="13" t="s">
        <v>44</v>
      </c>
      <c r="K67" s="233">
        <f>'Form 2C.1 - Design'!Y109</f>
        <v>0</v>
      </c>
      <c r="L67" s="240"/>
      <c r="M67" s="240"/>
      <c r="N67" s="40" t="s">
        <v>45</v>
      </c>
      <c r="O67" s="51"/>
      <c r="P67" s="181">
        <f>'Form 2C.1 - Design'!T109</f>
        <v>0</v>
      </c>
      <c r="Q67" s="181"/>
      <c r="R67" s="51" t="s">
        <v>44</v>
      </c>
      <c r="S67" s="51"/>
      <c r="T67" s="81"/>
      <c r="U67" s="51"/>
      <c r="V67" s="209"/>
      <c r="W67" s="209"/>
      <c r="X67" s="209"/>
      <c r="Z67" s="178"/>
      <c r="AA67" s="178"/>
      <c r="AB67" s="13" t="s">
        <v>44</v>
      </c>
      <c r="AD67" s="182"/>
      <c r="AE67" s="182"/>
      <c r="AF67" s="182"/>
      <c r="AG67" s="40" t="s">
        <v>45</v>
      </c>
      <c r="AH67" s="51"/>
      <c r="AI67" s="178"/>
      <c r="AJ67" s="178"/>
      <c r="AK67" s="51" t="s">
        <v>44</v>
      </c>
      <c r="AM67" s="128">
        <v>3</v>
      </c>
      <c r="AN67" s="128">
        <f t="shared" si="0"/>
        <v>1</v>
      </c>
      <c r="BX67" s="37"/>
      <c r="BY67" s="37"/>
      <c r="BZ67" s="37"/>
      <c r="CA67" s="37"/>
    </row>
    <row r="68" spans="1:81" ht="4.95" customHeight="1" x14ac:dyDescent="0.3">
      <c r="G68" s="52"/>
      <c r="H68" s="13"/>
      <c r="K68" s="2"/>
      <c r="L68" s="2"/>
      <c r="M68" s="2"/>
      <c r="O68" s="51"/>
      <c r="P68" s="51"/>
      <c r="Q68" s="51"/>
      <c r="R68" s="51"/>
      <c r="S68" s="51"/>
      <c r="T68" s="81"/>
      <c r="U68" s="51"/>
      <c r="AA68" s="52"/>
      <c r="AB68" s="13"/>
      <c r="AD68" s="2"/>
      <c r="AE68" s="2"/>
      <c r="AF68" s="2"/>
      <c r="AH68" s="51"/>
      <c r="AI68" s="51"/>
      <c r="AJ68" s="51"/>
      <c r="AK68" s="51"/>
      <c r="BX68" s="37"/>
      <c r="BY68" s="37"/>
      <c r="BZ68" s="37"/>
      <c r="CA68" s="37"/>
    </row>
    <row r="69" spans="1:81" ht="15" customHeight="1" x14ac:dyDescent="0.3">
      <c r="B69" s="104" t="s">
        <v>265</v>
      </c>
      <c r="I69" s="142">
        <f>'Form 2C.1 - Design'!I117</f>
        <v>0</v>
      </c>
      <c r="J69" s="40" t="s">
        <v>400</v>
      </c>
      <c r="O69" s="2" t="s">
        <v>180</v>
      </c>
      <c r="P69" s="242">
        <f>'Form 2C.1 - Design'!T117</f>
        <v>0</v>
      </c>
      <c r="Q69" s="242"/>
      <c r="R69" s="40" t="s">
        <v>44</v>
      </c>
      <c r="T69" s="81"/>
      <c r="V69" s="104" t="s">
        <v>265</v>
      </c>
      <c r="AC69" s="77"/>
      <c r="AD69" s="40" t="s">
        <v>400</v>
      </c>
      <c r="AH69" s="2" t="s">
        <v>180</v>
      </c>
      <c r="AI69" s="176"/>
      <c r="AJ69" s="176"/>
      <c r="AK69" s="40" t="s">
        <v>44</v>
      </c>
      <c r="AM69" s="128">
        <f>IF(ISBLANK(AC69),1,2)</f>
        <v>1</v>
      </c>
      <c r="AN69" s="128">
        <f>IF(ISBLANK(AI69),1,2)</f>
        <v>1</v>
      </c>
      <c r="BX69" s="37"/>
      <c r="BY69" s="37"/>
      <c r="BZ69" s="37"/>
      <c r="CA69" s="37"/>
    </row>
    <row r="70" spans="1:81" ht="15" customHeight="1" x14ac:dyDescent="0.3">
      <c r="E70" s="2" t="s">
        <v>181</v>
      </c>
      <c r="F70" s="239">
        <f>'Form 2C.1 - Design'!N117</f>
        <v>0</v>
      </c>
      <c r="G70" s="239"/>
      <c r="H70" s="239"/>
      <c r="I70" s="239"/>
      <c r="N70" s="2" t="s">
        <v>279</v>
      </c>
      <c r="O70" s="242">
        <f>'Form 2C.1 - Design'!Y117</f>
        <v>0</v>
      </c>
      <c r="P70" s="247"/>
      <c r="Q70" s="247"/>
      <c r="R70" s="40" t="s">
        <v>45</v>
      </c>
      <c r="T70" s="81"/>
      <c r="Y70" s="2" t="s">
        <v>181</v>
      </c>
      <c r="Z70" s="205"/>
      <c r="AA70" s="205"/>
      <c r="AB70" s="205"/>
      <c r="AC70" s="205"/>
      <c r="AG70" s="2" t="s">
        <v>279</v>
      </c>
      <c r="AH70" s="176"/>
      <c r="AI70" s="176"/>
      <c r="AJ70" s="176"/>
      <c r="AK70" s="40" t="s">
        <v>45</v>
      </c>
      <c r="AT70" s="37"/>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37"/>
      <c r="BX70" s="37"/>
      <c r="BY70" s="37"/>
      <c r="BZ70" s="37"/>
      <c r="CA70" s="37"/>
    </row>
    <row r="71" spans="1:81" ht="4.95" customHeight="1" x14ac:dyDescent="0.3">
      <c r="T71" s="81"/>
      <c r="AT71" s="37"/>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37"/>
      <c r="BX71" s="37"/>
      <c r="BY71" s="37"/>
      <c r="BZ71" s="37"/>
      <c r="CA71" s="37"/>
    </row>
    <row r="72" spans="1:81" ht="15" customHeight="1" x14ac:dyDescent="0.3">
      <c r="B72" s="104" t="s">
        <v>266</v>
      </c>
      <c r="I72" s="142">
        <f>'Form 2C.1 - Design'!I119</f>
        <v>0</v>
      </c>
      <c r="J72" s="40" t="s">
        <v>400</v>
      </c>
      <c r="O72" s="2" t="s">
        <v>180</v>
      </c>
      <c r="P72" s="242">
        <f>'Form 2C.1 - Design'!T119</f>
        <v>0</v>
      </c>
      <c r="Q72" s="242"/>
      <c r="R72" s="40" t="s">
        <v>44</v>
      </c>
      <c r="T72" s="81"/>
      <c r="V72" s="104" t="s">
        <v>266</v>
      </c>
      <c r="AC72" s="77"/>
      <c r="AD72" s="40" t="s">
        <v>400</v>
      </c>
      <c r="AH72" s="2" t="s">
        <v>180</v>
      </c>
      <c r="AI72" s="176"/>
      <c r="AJ72" s="176"/>
      <c r="AK72" s="40" t="s">
        <v>44</v>
      </c>
      <c r="AM72" s="128">
        <f>IF(ISBLANK(AC72),1,2)</f>
        <v>1</v>
      </c>
      <c r="AT72" s="37"/>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37"/>
      <c r="BX72" s="37"/>
      <c r="BY72" s="37"/>
      <c r="BZ72" s="37"/>
      <c r="CA72" s="37"/>
    </row>
    <row r="73" spans="1:81" ht="15" customHeight="1" x14ac:dyDescent="0.3">
      <c r="E73" s="2" t="s">
        <v>181</v>
      </c>
      <c r="F73" s="239">
        <f>'Form 2C.1 - Design'!N119</f>
        <v>0</v>
      </c>
      <c r="G73" s="239"/>
      <c r="H73" s="239"/>
      <c r="I73" s="239"/>
      <c r="O73" s="2" t="s">
        <v>270</v>
      </c>
      <c r="P73" s="257">
        <f>'Form 2C.1 - Design'!AD119</f>
        <v>0</v>
      </c>
      <c r="Q73" s="257"/>
      <c r="R73" s="40" t="s">
        <v>263</v>
      </c>
      <c r="T73" s="81"/>
      <c r="Y73" s="2" t="s">
        <v>181</v>
      </c>
      <c r="Z73" s="205"/>
      <c r="AA73" s="205"/>
      <c r="AB73" s="205"/>
      <c r="AC73" s="205"/>
      <c r="AH73" s="2" t="s">
        <v>270</v>
      </c>
      <c r="AI73" s="183"/>
      <c r="AJ73" s="183"/>
      <c r="AK73" s="40" t="s">
        <v>263</v>
      </c>
      <c r="AM73" s="128">
        <f>IF(ISBLANK(AI73),1,2)</f>
        <v>1</v>
      </c>
      <c r="AT73" s="37"/>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37"/>
      <c r="BX73" s="37"/>
      <c r="BY73" s="37"/>
      <c r="BZ73" s="37"/>
      <c r="CA73" s="37"/>
    </row>
    <row r="74" spans="1:81" ht="4.95" customHeight="1" x14ac:dyDescent="0.3">
      <c r="AM74" s="69"/>
      <c r="AS74" s="36"/>
      <c r="AT74" s="37"/>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c r="BX74" s="37"/>
      <c r="BY74" s="37"/>
      <c r="BZ74" s="37"/>
      <c r="CA74" s="37"/>
    </row>
    <row r="75" spans="1:81" ht="15" customHeight="1" x14ac:dyDescent="0.3">
      <c r="A75" s="235" t="s">
        <v>392</v>
      </c>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69"/>
      <c r="AN75" s="69"/>
      <c r="BX75" s="37"/>
      <c r="BY75" s="37"/>
      <c r="BZ75" s="37"/>
      <c r="CA75" s="37"/>
    </row>
    <row r="76" spans="1:81" ht="15" customHeight="1" x14ac:dyDescent="0.3">
      <c r="B76" s="1" t="s">
        <v>60</v>
      </c>
      <c r="C76" s="1"/>
      <c r="D76" s="1"/>
      <c r="E76" s="1"/>
      <c r="F76" s="1"/>
      <c r="G76" s="1"/>
      <c r="I76" s="1"/>
      <c r="J76" s="1"/>
      <c r="K76" s="1"/>
      <c r="L76" s="1"/>
      <c r="M76" s="1"/>
      <c r="N76" s="1"/>
      <c r="O76" s="1"/>
      <c r="P76" s="1"/>
      <c r="Q76" s="1"/>
      <c r="R76" s="1"/>
      <c r="S76" s="1"/>
      <c r="T76" s="1"/>
      <c r="U76" s="42"/>
      <c r="V76" s="1" t="s">
        <v>61</v>
      </c>
      <c r="X76" s="1"/>
      <c r="Y76" s="1"/>
      <c r="Z76" s="1"/>
      <c r="AA76" s="1"/>
      <c r="AB76" s="1"/>
      <c r="AC76" s="1"/>
      <c r="AD76" s="1"/>
      <c r="AE76" s="1"/>
      <c r="AF76" s="1"/>
      <c r="AG76" s="1"/>
      <c r="AH76" s="1"/>
      <c r="AI76" s="1"/>
      <c r="AJ76" s="76"/>
      <c r="AK76" s="76"/>
      <c r="BX76" s="37"/>
      <c r="BY76" s="37"/>
      <c r="BZ76" s="37"/>
      <c r="CA76" s="37"/>
    </row>
    <row r="77" spans="1:81" ht="15" customHeight="1" x14ac:dyDescent="0.3">
      <c r="C77" s="2"/>
      <c r="D77" s="2" t="s">
        <v>181</v>
      </c>
      <c r="E77" s="239">
        <f>'Form 2C.1 - Design'!F122</f>
        <v>0</v>
      </c>
      <c r="F77" s="239"/>
      <c r="G77" s="239"/>
      <c r="H77" s="239"/>
      <c r="M77" s="2" t="s">
        <v>182</v>
      </c>
      <c r="N77" s="187">
        <f>'Form 2C.1 - Design'!P122</f>
        <v>0</v>
      </c>
      <c r="O77" s="187"/>
      <c r="P77" s="187"/>
      <c r="Q77" s="187"/>
      <c r="U77" s="42"/>
      <c r="X77" s="2" t="s">
        <v>181</v>
      </c>
      <c r="Y77" s="205"/>
      <c r="Z77" s="205"/>
      <c r="AA77" s="205"/>
      <c r="AB77" s="205"/>
      <c r="AC77" s="1"/>
      <c r="AG77" s="2" t="s">
        <v>33</v>
      </c>
      <c r="AH77" s="205"/>
      <c r="AI77" s="205"/>
      <c r="AJ77" s="205"/>
      <c r="AK77" s="205"/>
      <c r="BX77"/>
      <c r="BY77"/>
      <c r="BZ77"/>
      <c r="CA77"/>
      <c r="CB77" s="43"/>
      <c r="CC77" s="43"/>
    </row>
    <row r="78" spans="1:81" ht="15" customHeight="1" x14ac:dyDescent="0.3">
      <c r="C78" s="2"/>
      <c r="D78" s="2" t="s">
        <v>180</v>
      </c>
      <c r="E78" s="245">
        <f>'Form 2C.1 - Design'!F123</f>
        <v>0</v>
      </c>
      <c r="F78" s="245"/>
      <c r="G78" s="245"/>
      <c r="H78" s="7" t="s">
        <v>45</v>
      </c>
      <c r="U78" s="42"/>
      <c r="X78" s="2" t="s">
        <v>180</v>
      </c>
      <c r="Y78" s="182"/>
      <c r="Z78" s="182"/>
      <c r="AA78" s="182"/>
      <c r="AB78" s="40" t="s">
        <v>45</v>
      </c>
      <c r="AM78" s="128">
        <f>IF(ISBLANK(Y78),1,2)</f>
        <v>1</v>
      </c>
      <c r="BX78"/>
      <c r="BY78"/>
      <c r="BZ78"/>
      <c r="CA78"/>
      <c r="CB78" s="43"/>
      <c r="CC78" s="43"/>
    </row>
    <row r="79" spans="1:81" ht="15" customHeight="1" x14ac:dyDescent="0.3">
      <c r="C79" s="2"/>
      <c r="D79" s="2" t="s">
        <v>179</v>
      </c>
      <c r="E79" s="245">
        <f>'Form 2C.1 - Design'!F124</f>
        <v>0</v>
      </c>
      <c r="F79" s="245"/>
      <c r="G79" s="245"/>
      <c r="H79" s="7" t="s">
        <v>45</v>
      </c>
      <c r="L79" s="2" t="s">
        <v>183</v>
      </c>
      <c r="M79" s="246">
        <f>'Form 2C.1 - Design'!P124</f>
        <v>0</v>
      </c>
      <c r="N79" s="246"/>
      <c r="O79" s="246"/>
      <c r="P79" s="40" t="s">
        <v>45</v>
      </c>
      <c r="U79" s="42"/>
      <c r="X79" s="2" t="s">
        <v>179</v>
      </c>
      <c r="Y79" s="182"/>
      <c r="Z79" s="182"/>
      <c r="AA79" s="182"/>
      <c r="AB79" s="40" t="s">
        <v>45</v>
      </c>
      <c r="AG79" s="2" t="s">
        <v>46</v>
      </c>
      <c r="AH79" s="176"/>
      <c r="AI79" s="176"/>
      <c r="AJ79" s="176"/>
      <c r="AK79" s="40" t="s">
        <v>45</v>
      </c>
      <c r="AM79" s="128">
        <f>IF(AND(ISBLANK(Y79),ISBLANK(AH79)),1,2)</f>
        <v>1</v>
      </c>
      <c r="BX79"/>
      <c r="BY79"/>
      <c r="BZ79"/>
      <c r="CA79"/>
    </row>
    <row r="80" spans="1:81" ht="15" customHeight="1" x14ac:dyDescent="0.3">
      <c r="C80" s="2"/>
      <c r="D80" s="2" t="s">
        <v>178</v>
      </c>
      <c r="E80" s="245">
        <f>'Form 2C.1 - Design'!F125</f>
        <v>0</v>
      </c>
      <c r="F80" s="245"/>
      <c r="G80" s="245"/>
      <c r="H80" s="7" t="s">
        <v>45</v>
      </c>
      <c r="L80" s="2" t="s">
        <v>184</v>
      </c>
      <c r="M80" s="245">
        <f>'Form 2C.1 - Design'!P125</f>
        <v>0</v>
      </c>
      <c r="N80" s="245"/>
      <c r="O80" s="245"/>
      <c r="P80" s="40" t="s">
        <v>45</v>
      </c>
      <c r="U80" s="42"/>
      <c r="X80" s="2" t="s">
        <v>178</v>
      </c>
      <c r="Y80" s="182"/>
      <c r="Z80" s="182"/>
      <c r="AA80" s="182"/>
      <c r="AB80" s="40" t="s">
        <v>45</v>
      </c>
      <c r="AG80" s="2" t="s">
        <v>47</v>
      </c>
      <c r="AH80" s="182"/>
      <c r="AI80" s="182"/>
      <c r="AJ80" s="182"/>
      <c r="AK80" s="40" t="s">
        <v>45</v>
      </c>
      <c r="BX80"/>
      <c r="BY80"/>
      <c r="BZ80"/>
      <c r="CA80"/>
    </row>
    <row r="81" spans="1:79" ht="4.95" customHeight="1" x14ac:dyDescent="0.3">
      <c r="C81" s="2"/>
      <c r="D81" s="2"/>
      <c r="E81" s="2"/>
      <c r="F81" s="2"/>
      <c r="G81" s="2"/>
      <c r="H81" s="10"/>
      <c r="I81" s="7"/>
      <c r="M81" s="2"/>
      <c r="N81" s="11"/>
      <c r="O81" s="11"/>
      <c r="P81" s="11"/>
      <c r="U81" s="42"/>
      <c r="X81" s="2"/>
      <c r="Z81" s="2"/>
      <c r="AA81" s="44"/>
      <c r="AB81" s="44"/>
      <c r="AC81" s="44"/>
      <c r="AH81" s="2"/>
      <c r="AI81" s="45"/>
      <c r="AJ81" s="45"/>
      <c r="AK81" s="45"/>
      <c r="BX81"/>
      <c r="BY81"/>
      <c r="BZ81"/>
      <c r="CA81"/>
    </row>
    <row r="82" spans="1:79" ht="15" customHeight="1" x14ac:dyDescent="0.3">
      <c r="C82" s="2"/>
      <c r="D82" s="2" t="s">
        <v>172</v>
      </c>
      <c r="E82" s="142">
        <f>'Form 2C.1 - Design'!AF125</f>
        <v>0</v>
      </c>
      <c r="F82" s="40" t="s">
        <v>130</v>
      </c>
      <c r="H82" s="142">
        <f>'Form 2C.1 - Design'!AI125</f>
        <v>0</v>
      </c>
      <c r="I82" s="40" t="s">
        <v>131</v>
      </c>
      <c r="U82" s="42"/>
      <c r="X82" s="2" t="s">
        <v>172</v>
      </c>
      <c r="Y82" s="77"/>
      <c r="Z82" s="40" t="s">
        <v>130</v>
      </c>
      <c r="AB82" s="77"/>
      <c r="AC82" s="40" t="s">
        <v>131</v>
      </c>
      <c r="AM82" s="128">
        <f>IF(AND(ISBLANK(Y82),ISBLANK(AB82)),1,2)</f>
        <v>1</v>
      </c>
      <c r="BX82"/>
      <c r="BY82"/>
      <c r="BZ82"/>
      <c r="CA82"/>
    </row>
    <row r="83" spans="1:79" ht="15" customHeight="1" x14ac:dyDescent="0.3">
      <c r="E83" s="13" t="s">
        <v>34</v>
      </c>
      <c r="H83" s="4"/>
      <c r="J83" s="4" t="s">
        <v>379</v>
      </c>
      <c r="K83" s="4"/>
      <c r="L83" s="4"/>
      <c r="N83" s="4" t="s">
        <v>380</v>
      </c>
      <c r="O83" s="4"/>
      <c r="R83" s="4" t="s">
        <v>43</v>
      </c>
      <c r="S83" s="4"/>
      <c r="U83" s="42"/>
      <c r="W83" s="13" t="s">
        <v>34</v>
      </c>
      <c r="X83" s="4"/>
      <c r="Y83" s="4"/>
      <c r="Z83" s="4"/>
      <c r="AB83" s="4" t="s">
        <v>379</v>
      </c>
      <c r="AC83" s="4"/>
      <c r="AD83" s="4"/>
      <c r="AF83" s="4" t="s">
        <v>380</v>
      </c>
      <c r="AG83" s="4"/>
      <c r="AJ83" s="4" t="s">
        <v>43</v>
      </c>
      <c r="AK83" s="4"/>
      <c r="AM83" s="24"/>
      <c r="BX83"/>
      <c r="BY83"/>
      <c r="BZ83"/>
      <c r="CA83"/>
    </row>
    <row r="84" spans="1:79" ht="15" customHeight="1" x14ac:dyDescent="0.3">
      <c r="C84" s="2"/>
      <c r="D84" s="2" t="s">
        <v>177</v>
      </c>
      <c r="E84" s="187">
        <f>'Form 2C.1 - Design'!F128</f>
        <v>0</v>
      </c>
      <c r="F84" s="187"/>
      <c r="G84" s="187"/>
      <c r="I84" s="246">
        <f>'Form 2C.1 - Design'!K128</f>
        <v>0</v>
      </c>
      <c r="J84" s="246"/>
      <c r="K84" s="246"/>
      <c r="L84" s="40" t="s">
        <v>44</v>
      </c>
      <c r="M84" s="246">
        <f>'Form 2C.1 - Design'!P128</f>
        <v>0</v>
      </c>
      <c r="N84" s="246"/>
      <c r="O84" s="246"/>
      <c r="P84" s="40" t="s">
        <v>44</v>
      </c>
      <c r="Q84" s="246">
        <f>'Form 2C.1 - Design'!U128</f>
        <v>0</v>
      </c>
      <c r="R84" s="246"/>
      <c r="S84" s="246"/>
      <c r="T84" s="40" t="s">
        <v>45</v>
      </c>
      <c r="U84" s="42"/>
      <c r="W84" s="205"/>
      <c r="X84" s="205"/>
      <c r="Y84" s="205"/>
      <c r="AA84" s="176"/>
      <c r="AB84" s="176"/>
      <c r="AC84" s="176"/>
      <c r="AD84" s="40" t="s">
        <v>44</v>
      </c>
      <c r="AE84" s="176"/>
      <c r="AF84" s="176"/>
      <c r="AG84" s="176"/>
      <c r="AH84" s="40" t="s">
        <v>44</v>
      </c>
      <c r="AI84" s="176"/>
      <c r="AJ84" s="176"/>
      <c r="AK84" s="176"/>
      <c r="AL84" s="40" t="s">
        <v>45</v>
      </c>
      <c r="AM84" s="128">
        <f>IF(ISBLANK(W84),1,2)</f>
        <v>1</v>
      </c>
      <c r="BX84" s="43"/>
      <c r="BY84" s="43"/>
      <c r="BZ84" s="43"/>
      <c r="CA84" s="43"/>
    </row>
    <row r="85" spans="1:79" ht="15" customHeight="1" x14ac:dyDescent="0.3">
      <c r="C85" s="2"/>
      <c r="D85" s="2" t="s">
        <v>176</v>
      </c>
      <c r="E85" s="238">
        <f>'Form 2C.1 - Design'!F130</f>
        <v>0</v>
      </c>
      <c r="F85" s="238"/>
      <c r="G85" s="238"/>
      <c r="I85" s="245">
        <f>'Form 2C.1 - Design'!K130</f>
        <v>0</v>
      </c>
      <c r="J85" s="245"/>
      <c r="K85" s="245"/>
      <c r="L85" s="40" t="str">
        <f>'Form 2C.1 - Design'!N130</f>
        <v>in</v>
      </c>
      <c r="M85" s="245">
        <f>'Form 2C.1 - Design'!P130</f>
        <v>0</v>
      </c>
      <c r="N85" s="245"/>
      <c r="O85" s="245"/>
      <c r="P85" s="40" t="s">
        <v>44</v>
      </c>
      <c r="Q85" s="245">
        <f>'Form 2C.1 - Design'!U130</f>
        <v>0</v>
      </c>
      <c r="R85" s="245"/>
      <c r="S85" s="245"/>
      <c r="T85" s="40" t="s">
        <v>45</v>
      </c>
      <c r="U85" s="42"/>
      <c r="W85" s="207"/>
      <c r="X85" s="207"/>
      <c r="Y85" s="207"/>
      <c r="AA85" s="182"/>
      <c r="AB85" s="182"/>
      <c r="AC85" s="182"/>
      <c r="AD85" s="40" t="str">
        <f>IF(W85="V-notch","deg","in")</f>
        <v>in</v>
      </c>
      <c r="AE85" s="182"/>
      <c r="AF85" s="182"/>
      <c r="AG85" s="182"/>
      <c r="AH85" s="40" t="s">
        <v>44</v>
      </c>
      <c r="AI85" s="182"/>
      <c r="AJ85" s="182"/>
      <c r="AK85" s="182"/>
      <c r="AL85" s="40" t="s">
        <v>45</v>
      </c>
      <c r="AM85" s="128">
        <f>IF(ISBLANK(W85),1,2)</f>
        <v>1</v>
      </c>
      <c r="BX85" s="43"/>
      <c r="BY85" s="43"/>
      <c r="BZ85" s="43"/>
      <c r="CA85" s="43"/>
    </row>
    <row r="86" spans="1:79" ht="4.95" customHeight="1" x14ac:dyDescent="0.3">
      <c r="C86" s="2"/>
      <c r="D86" s="2"/>
      <c r="E86" s="2"/>
      <c r="F86" s="2"/>
      <c r="G86" s="2"/>
      <c r="H86" s="7"/>
      <c r="J86" s="11"/>
      <c r="K86" s="11"/>
      <c r="L86" s="11"/>
      <c r="N86" s="11"/>
      <c r="O86" s="11"/>
      <c r="P86" s="11"/>
      <c r="R86" s="11"/>
      <c r="S86" s="11"/>
      <c r="T86" s="11"/>
      <c r="U86" s="42"/>
      <c r="AA86" s="45"/>
      <c r="AB86" s="45"/>
      <c r="AC86" s="45"/>
      <c r="AE86" s="45"/>
      <c r="AF86" s="45"/>
      <c r="AG86" s="45"/>
      <c r="AI86" s="45"/>
      <c r="AJ86" s="45"/>
      <c r="AK86" s="45"/>
      <c r="AM86" s="24"/>
      <c r="AS86" s="36"/>
      <c r="BW86"/>
      <c r="BX86" s="37"/>
      <c r="BY86" s="37"/>
      <c r="BZ86" s="37"/>
      <c r="CA86" s="37"/>
    </row>
    <row r="87" spans="1:79" ht="15" customHeight="1" x14ac:dyDescent="0.3">
      <c r="D87" s="2" t="s">
        <v>466</v>
      </c>
      <c r="E87" s="142">
        <f>'Form 2C.1 - Design'!AF130</f>
        <v>0</v>
      </c>
      <c r="F87" s="40" t="s">
        <v>130</v>
      </c>
      <c r="H87" s="142">
        <f>'Form 2C.1 - Design'!AI130</f>
        <v>0</v>
      </c>
      <c r="I87" s="40" t="s">
        <v>131</v>
      </c>
      <c r="U87" s="42"/>
      <c r="X87" s="2" t="s">
        <v>466</v>
      </c>
      <c r="Y87" s="77"/>
      <c r="Z87" s="40" t="s">
        <v>130</v>
      </c>
      <c r="AB87" s="77"/>
      <c r="AC87" s="40" t="s">
        <v>131</v>
      </c>
      <c r="AM87" s="128">
        <f>IF(AND(ISBLANK(Y87),ISBLANK(AB87)),1,2)</f>
        <v>1</v>
      </c>
      <c r="BW87"/>
      <c r="BX87" s="37"/>
      <c r="BY87" s="37"/>
      <c r="BZ87" s="37"/>
      <c r="CA87" s="37"/>
    </row>
    <row r="88" spans="1:79" ht="15" customHeight="1" x14ac:dyDescent="0.3">
      <c r="B88" s="243" t="str">
        <f>'Form 2C.1 - Design'!C131</f>
        <v xml:space="preserve">Select: </v>
      </c>
      <c r="C88" s="243"/>
      <c r="D88" s="243"/>
      <c r="E88" s="239">
        <f>'Form 2C.1 - Design'!F131</f>
        <v>0</v>
      </c>
      <c r="F88" s="239"/>
      <c r="G88" s="239"/>
      <c r="I88" s="246">
        <f>'Form 2C.1 - Design'!K131</f>
        <v>0</v>
      </c>
      <c r="J88" s="246"/>
      <c r="K88" s="246"/>
      <c r="L88" s="40" t="str">
        <f>'Form 2C.1 - Design'!N131</f>
        <v>in</v>
      </c>
      <c r="M88" s="246">
        <f>'Form 2C.1 - Design'!P131</f>
        <v>0</v>
      </c>
      <c r="N88" s="246"/>
      <c r="O88" s="246"/>
      <c r="P88" s="40" t="s">
        <v>44</v>
      </c>
      <c r="Q88" s="246">
        <f>'Form 2C.1 - Design'!U131</f>
        <v>0</v>
      </c>
      <c r="R88" s="246"/>
      <c r="S88" s="246"/>
      <c r="T88" s="40" t="s">
        <v>45</v>
      </c>
      <c r="U88" s="42"/>
      <c r="W88" s="205"/>
      <c r="X88" s="205"/>
      <c r="Y88" s="205"/>
      <c r="AA88" s="176"/>
      <c r="AB88" s="176"/>
      <c r="AC88" s="176"/>
      <c r="AD88" s="40" t="str">
        <f>IF(W88="V-notch","deg","in")</f>
        <v>in</v>
      </c>
      <c r="AE88" s="176"/>
      <c r="AF88" s="176"/>
      <c r="AG88" s="176"/>
      <c r="AH88" s="40" t="s">
        <v>44</v>
      </c>
      <c r="AI88" s="176"/>
      <c r="AJ88" s="176"/>
      <c r="AK88" s="176"/>
      <c r="AL88" s="40" t="s">
        <v>45</v>
      </c>
      <c r="AM88" s="128">
        <f t="shared" ref="AM88:AM94" si="1">IF(ISBLANK(W88),1,2)</f>
        <v>1</v>
      </c>
      <c r="BW88" s="43"/>
      <c r="BX88" s="37"/>
      <c r="BY88" s="37"/>
      <c r="BZ88" s="37"/>
      <c r="CA88" s="37"/>
    </row>
    <row r="89" spans="1:79" ht="15" customHeight="1" x14ac:dyDescent="0.3">
      <c r="B89" s="243" t="str">
        <f>'Form 2C.1 - Design'!C132</f>
        <v xml:space="preserve">Select: </v>
      </c>
      <c r="C89" s="243"/>
      <c r="D89" s="243"/>
      <c r="E89" s="244">
        <f>'Form 2C.1 - Design'!F132</f>
        <v>0</v>
      </c>
      <c r="F89" s="244"/>
      <c r="G89" s="244"/>
      <c r="I89" s="245">
        <f>'Form 2C.1 - Design'!K132</f>
        <v>0</v>
      </c>
      <c r="J89" s="245"/>
      <c r="K89" s="245"/>
      <c r="L89" s="40" t="str">
        <f>'Form 2C.1 - Design'!N132</f>
        <v>in</v>
      </c>
      <c r="M89" s="245">
        <f>'Form 2C.1 - Design'!P132</f>
        <v>0</v>
      </c>
      <c r="N89" s="245"/>
      <c r="O89" s="245"/>
      <c r="P89" s="40" t="s">
        <v>44</v>
      </c>
      <c r="Q89" s="245">
        <f>'Form 2C.1 - Design'!U132</f>
        <v>0</v>
      </c>
      <c r="R89" s="245"/>
      <c r="S89" s="245"/>
      <c r="T89" s="40" t="s">
        <v>45</v>
      </c>
      <c r="U89" s="42"/>
      <c r="W89" s="205"/>
      <c r="X89" s="205"/>
      <c r="Y89" s="205"/>
      <c r="AA89" s="182"/>
      <c r="AB89" s="182"/>
      <c r="AC89" s="182"/>
      <c r="AD89" s="40" t="str">
        <f t="shared" ref="AD89:AD94" si="2">IF(W89="V-notch","deg","in")</f>
        <v>in</v>
      </c>
      <c r="AE89" s="182"/>
      <c r="AF89" s="182"/>
      <c r="AG89" s="182"/>
      <c r="AH89" s="40" t="s">
        <v>44</v>
      </c>
      <c r="AI89" s="182"/>
      <c r="AJ89" s="182"/>
      <c r="AK89" s="182"/>
      <c r="AL89" s="40" t="s">
        <v>45</v>
      </c>
      <c r="AM89" s="128">
        <f t="shared" si="1"/>
        <v>1</v>
      </c>
      <c r="BX89" s="37"/>
      <c r="BY89" s="37"/>
      <c r="BZ89" s="37"/>
      <c r="CA89" s="37"/>
    </row>
    <row r="90" spans="1:79" ht="15" customHeight="1" x14ac:dyDescent="0.3">
      <c r="B90" s="243" t="str">
        <f>'Form 2C.1 - Design'!C133</f>
        <v xml:space="preserve">Select: </v>
      </c>
      <c r="C90" s="243"/>
      <c r="D90" s="243"/>
      <c r="E90" s="244">
        <f>'Form 2C.1 - Design'!F133</f>
        <v>0</v>
      </c>
      <c r="F90" s="244"/>
      <c r="G90" s="244"/>
      <c r="I90" s="245">
        <f>'Form 2C.1 - Design'!K133</f>
        <v>0</v>
      </c>
      <c r="J90" s="245"/>
      <c r="K90" s="245"/>
      <c r="L90" s="40" t="str">
        <f>'Form 2C.1 - Design'!N133</f>
        <v>in</v>
      </c>
      <c r="M90" s="245">
        <f>'Form 2C.1 - Design'!P133</f>
        <v>0</v>
      </c>
      <c r="N90" s="245"/>
      <c r="O90" s="245"/>
      <c r="P90" s="40" t="s">
        <v>44</v>
      </c>
      <c r="Q90" s="245">
        <f>'Form 2C.1 - Design'!U133</f>
        <v>0</v>
      </c>
      <c r="R90" s="245"/>
      <c r="S90" s="245"/>
      <c r="T90" s="40" t="s">
        <v>45</v>
      </c>
      <c r="U90" s="42"/>
      <c r="W90" s="205"/>
      <c r="X90" s="205"/>
      <c r="Y90" s="205"/>
      <c r="AA90" s="182"/>
      <c r="AB90" s="182"/>
      <c r="AC90" s="182"/>
      <c r="AD90" s="40" t="str">
        <f t="shared" si="2"/>
        <v>in</v>
      </c>
      <c r="AE90" s="182"/>
      <c r="AF90" s="182"/>
      <c r="AG90" s="182"/>
      <c r="AH90" s="40" t="s">
        <v>44</v>
      </c>
      <c r="AI90" s="182"/>
      <c r="AJ90" s="182"/>
      <c r="AK90" s="182"/>
      <c r="AL90" s="40" t="s">
        <v>45</v>
      </c>
      <c r="AM90" s="128">
        <f t="shared" si="1"/>
        <v>1</v>
      </c>
      <c r="BX90" s="37"/>
      <c r="BY90" s="37"/>
      <c r="BZ90" s="37"/>
      <c r="CA90" s="37"/>
    </row>
    <row r="91" spans="1:79" ht="15" customHeight="1" x14ac:dyDescent="0.3">
      <c r="B91" s="243" t="str">
        <f>'Form 2C.1 - Design'!C134</f>
        <v xml:space="preserve">Select: </v>
      </c>
      <c r="C91" s="243"/>
      <c r="D91" s="243"/>
      <c r="E91" s="244">
        <f>'Form 2C.1 - Design'!F134</f>
        <v>0</v>
      </c>
      <c r="F91" s="244"/>
      <c r="G91" s="244"/>
      <c r="I91" s="245">
        <f>'Form 2C.1 - Design'!K134</f>
        <v>0</v>
      </c>
      <c r="J91" s="245"/>
      <c r="K91" s="245"/>
      <c r="L91" s="40" t="str">
        <f>'Form 2C.1 - Design'!N134</f>
        <v>in</v>
      </c>
      <c r="M91" s="245">
        <f>'Form 2C.1 - Design'!P134</f>
        <v>0</v>
      </c>
      <c r="N91" s="245"/>
      <c r="O91" s="245"/>
      <c r="P91" s="40" t="s">
        <v>44</v>
      </c>
      <c r="Q91" s="245">
        <f>'Form 2C.1 - Design'!U134</f>
        <v>0</v>
      </c>
      <c r="R91" s="245"/>
      <c r="S91" s="245"/>
      <c r="T91" s="40" t="s">
        <v>45</v>
      </c>
      <c r="U91" s="42"/>
      <c r="W91" s="205"/>
      <c r="X91" s="205"/>
      <c r="Y91" s="205"/>
      <c r="AA91" s="182"/>
      <c r="AB91" s="182"/>
      <c r="AC91" s="182"/>
      <c r="AD91" s="40" t="str">
        <f t="shared" si="2"/>
        <v>in</v>
      </c>
      <c r="AE91" s="182"/>
      <c r="AF91" s="182"/>
      <c r="AG91" s="182"/>
      <c r="AH91" s="40" t="s">
        <v>44</v>
      </c>
      <c r="AI91" s="182"/>
      <c r="AJ91" s="182"/>
      <c r="AK91" s="182"/>
      <c r="AL91" s="40" t="s">
        <v>45</v>
      </c>
      <c r="AM91" s="128">
        <f t="shared" si="1"/>
        <v>1</v>
      </c>
      <c r="BX91" s="37"/>
      <c r="BY91" s="37"/>
      <c r="BZ91" s="37"/>
      <c r="CA91" s="37"/>
    </row>
    <row r="92" spans="1:79" ht="15" customHeight="1" x14ac:dyDescent="0.3">
      <c r="B92" s="243" t="str">
        <f>'Form 2C.1 - Design'!C135</f>
        <v xml:space="preserve">Select: </v>
      </c>
      <c r="C92" s="243"/>
      <c r="D92" s="243"/>
      <c r="E92" s="244">
        <f>'Form 2C.1 - Design'!F135</f>
        <v>0</v>
      </c>
      <c r="F92" s="244"/>
      <c r="G92" s="244"/>
      <c r="I92" s="245">
        <f>'Form 2C.1 - Design'!K135</f>
        <v>0</v>
      </c>
      <c r="J92" s="245"/>
      <c r="K92" s="245"/>
      <c r="L92" s="40" t="str">
        <f>'Form 2C.1 - Design'!N135</f>
        <v>in</v>
      </c>
      <c r="M92" s="245">
        <f>'Form 2C.1 - Design'!P135</f>
        <v>0</v>
      </c>
      <c r="N92" s="245"/>
      <c r="O92" s="245"/>
      <c r="P92" s="40" t="s">
        <v>44</v>
      </c>
      <c r="Q92" s="245">
        <f>'Form 2C.1 - Design'!U135</f>
        <v>0</v>
      </c>
      <c r="R92" s="245"/>
      <c r="S92" s="245"/>
      <c r="T92" s="40" t="s">
        <v>45</v>
      </c>
      <c r="U92" s="42"/>
      <c r="W92" s="205"/>
      <c r="X92" s="205"/>
      <c r="Y92" s="205"/>
      <c r="AA92" s="182"/>
      <c r="AB92" s="182"/>
      <c r="AC92" s="182"/>
      <c r="AD92" s="40" t="str">
        <f t="shared" si="2"/>
        <v>in</v>
      </c>
      <c r="AE92" s="182"/>
      <c r="AF92" s="182"/>
      <c r="AG92" s="182"/>
      <c r="AH92" s="40" t="s">
        <v>45</v>
      </c>
      <c r="AI92" s="182"/>
      <c r="AJ92" s="182"/>
      <c r="AK92" s="182"/>
      <c r="AL92" s="40" t="s">
        <v>45</v>
      </c>
      <c r="AM92" s="128">
        <f t="shared" si="1"/>
        <v>1</v>
      </c>
      <c r="BX92" s="37"/>
      <c r="BY92" s="37"/>
      <c r="BZ92" s="37"/>
      <c r="CA92" s="37"/>
    </row>
    <row r="93" spans="1:79" ht="15" customHeight="1" x14ac:dyDescent="0.3">
      <c r="B93" s="243" t="str">
        <f>'Form 2C.1 - Design'!C136</f>
        <v xml:space="preserve">Select: </v>
      </c>
      <c r="C93" s="243"/>
      <c r="D93" s="243"/>
      <c r="E93" s="244">
        <f>'Form 2C.1 - Design'!F136</f>
        <v>0</v>
      </c>
      <c r="F93" s="244"/>
      <c r="G93" s="244"/>
      <c r="I93" s="245">
        <f>'Form 2C.1 - Design'!K136</f>
        <v>0</v>
      </c>
      <c r="J93" s="245"/>
      <c r="K93" s="245"/>
      <c r="L93" s="40" t="str">
        <f>'Form 2C.1 - Design'!N136</f>
        <v>in</v>
      </c>
      <c r="M93" s="245">
        <f>'Form 2C.1 - Design'!P136</f>
        <v>0</v>
      </c>
      <c r="N93" s="245"/>
      <c r="O93" s="245"/>
      <c r="P93" s="40" t="s">
        <v>44</v>
      </c>
      <c r="Q93" s="245">
        <f>'Form 2C.1 - Design'!U136</f>
        <v>0</v>
      </c>
      <c r="R93" s="245"/>
      <c r="S93" s="245"/>
      <c r="T93" s="40" t="s">
        <v>45</v>
      </c>
      <c r="U93" s="42"/>
      <c r="W93" s="205"/>
      <c r="X93" s="205"/>
      <c r="Y93" s="205"/>
      <c r="AA93" s="182"/>
      <c r="AB93" s="182"/>
      <c r="AC93" s="182"/>
      <c r="AD93" s="40" t="str">
        <f t="shared" si="2"/>
        <v>in</v>
      </c>
      <c r="AE93" s="182"/>
      <c r="AF93" s="182"/>
      <c r="AG93" s="182"/>
      <c r="AH93" s="40" t="s">
        <v>45</v>
      </c>
      <c r="AI93" s="182"/>
      <c r="AJ93" s="182"/>
      <c r="AK93" s="182"/>
      <c r="AL93" s="40" t="s">
        <v>45</v>
      </c>
      <c r="AM93" s="128">
        <f t="shared" si="1"/>
        <v>1</v>
      </c>
      <c r="AS93" s="36"/>
      <c r="BW93" s="37"/>
      <c r="BX93" s="37"/>
      <c r="BY93" s="37"/>
      <c r="BZ93" s="37"/>
      <c r="CA93" s="37"/>
    </row>
    <row r="94" spans="1:79" ht="15" customHeight="1" x14ac:dyDescent="0.3">
      <c r="B94" s="243" t="str">
        <f>'Form 2C.1 - Design'!C137</f>
        <v xml:space="preserve">Select: </v>
      </c>
      <c r="C94" s="243"/>
      <c r="D94" s="243"/>
      <c r="E94" s="244">
        <f>'Form 2C.1 - Design'!F137</f>
        <v>0</v>
      </c>
      <c r="F94" s="244"/>
      <c r="G94" s="244"/>
      <c r="I94" s="245">
        <f>'Form 2C.1 - Design'!K137</f>
        <v>0</v>
      </c>
      <c r="J94" s="245"/>
      <c r="K94" s="245"/>
      <c r="L94" s="40" t="str">
        <f>'Form 2C.1 - Design'!N137</f>
        <v>in</v>
      </c>
      <c r="M94" s="245">
        <f>'Form 2C.1 - Design'!P137</f>
        <v>0</v>
      </c>
      <c r="N94" s="245"/>
      <c r="O94" s="245"/>
      <c r="P94" s="40" t="s">
        <v>44</v>
      </c>
      <c r="Q94" s="245">
        <f>'Form 2C.1 - Design'!U137</f>
        <v>0</v>
      </c>
      <c r="R94" s="245"/>
      <c r="S94" s="245"/>
      <c r="T94" s="40" t="s">
        <v>45</v>
      </c>
      <c r="U94" s="42"/>
      <c r="W94" s="205"/>
      <c r="X94" s="205"/>
      <c r="Y94" s="205"/>
      <c r="AA94" s="182"/>
      <c r="AB94" s="182"/>
      <c r="AC94" s="182"/>
      <c r="AD94" s="40" t="str">
        <f t="shared" si="2"/>
        <v>in</v>
      </c>
      <c r="AE94" s="182"/>
      <c r="AF94" s="182"/>
      <c r="AG94" s="182"/>
      <c r="AH94" s="40" t="s">
        <v>45</v>
      </c>
      <c r="AI94" s="182"/>
      <c r="AJ94" s="182"/>
      <c r="AK94" s="182"/>
      <c r="AL94" s="40" t="s">
        <v>45</v>
      </c>
      <c r="AM94" s="128">
        <f t="shared" si="1"/>
        <v>1</v>
      </c>
      <c r="BW94" s="37"/>
      <c r="BX94" s="37"/>
      <c r="BY94" s="37"/>
      <c r="BZ94" s="37"/>
      <c r="CA94" s="37"/>
    </row>
    <row r="95" spans="1:79" ht="4.95" customHeight="1" x14ac:dyDescent="0.3">
      <c r="B95" s="2"/>
      <c r="C95" s="2"/>
      <c r="D95" s="2"/>
      <c r="E95" s="2"/>
      <c r="F95" s="2"/>
      <c r="G95" s="2"/>
      <c r="J95" s="45"/>
      <c r="K95" s="45"/>
      <c r="L95" s="45"/>
      <c r="N95" s="45"/>
      <c r="O95" s="45"/>
      <c r="P95" s="45"/>
      <c r="R95" s="45"/>
      <c r="S95" s="45"/>
      <c r="T95" s="45"/>
      <c r="AA95" s="45"/>
      <c r="AB95" s="45"/>
      <c r="AC95" s="45"/>
      <c r="AE95" s="45"/>
      <c r="AF95" s="45"/>
      <c r="AG95" s="45"/>
      <c r="AI95" s="45"/>
      <c r="AJ95" s="45"/>
      <c r="AK95" s="45"/>
      <c r="AS95" s="40"/>
      <c r="BX95" s="37"/>
      <c r="BY95" s="37"/>
      <c r="BZ95" s="37"/>
      <c r="CA95" s="37"/>
    </row>
    <row r="96" spans="1:79" ht="15" customHeight="1" x14ac:dyDescent="0.3">
      <c r="A96" s="235" t="s">
        <v>14</v>
      </c>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69"/>
      <c r="AN96" s="69"/>
      <c r="AP96" s="24" t="s">
        <v>175</v>
      </c>
      <c r="AQ96" s="24" t="s">
        <v>155</v>
      </c>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row>
    <row r="97" spans="1:79" ht="4.95" customHeight="1"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69"/>
      <c r="AN97" s="69"/>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row>
    <row r="98" spans="1:79" ht="15" customHeight="1" x14ac:dyDescent="0.3">
      <c r="B98" s="1" t="s">
        <v>60</v>
      </c>
      <c r="C98" s="1"/>
      <c r="D98" s="1"/>
      <c r="E98" s="1"/>
      <c r="F98" s="1"/>
      <c r="G98" s="1"/>
      <c r="I98" s="1"/>
      <c r="J98" s="1"/>
      <c r="K98" s="1"/>
      <c r="L98" s="1"/>
      <c r="M98" s="1"/>
      <c r="N98" s="1"/>
      <c r="O98" s="1"/>
      <c r="P98" s="1"/>
      <c r="Q98" s="1"/>
      <c r="R98" s="1"/>
      <c r="S98" s="1"/>
      <c r="T98" s="1"/>
      <c r="U98" s="42"/>
      <c r="V98" s="1" t="s">
        <v>61</v>
      </c>
      <c r="W98" s="1"/>
      <c r="X98" s="1"/>
      <c r="Y98" s="1"/>
      <c r="Z98" s="1"/>
      <c r="AA98" s="77"/>
      <c r="AB98" s="40" t="s">
        <v>130</v>
      </c>
      <c r="AE98" s="77"/>
      <c r="AF98" s="40" t="s">
        <v>131</v>
      </c>
      <c r="AG98" s="1"/>
      <c r="AH98" s="1"/>
      <c r="AI98" s="76"/>
      <c r="AJ98" s="76"/>
      <c r="AM98" s="91" t="s">
        <v>86</v>
      </c>
      <c r="AN98" s="128">
        <f>SUM(AN100:AN102,AP100:AP102)</f>
        <v>0</v>
      </c>
      <c r="AO98" s="128">
        <f>IF(AND(ISBLANK(AA98),ISBLANK(AE98)),1,2)</f>
        <v>1</v>
      </c>
      <c r="AP98" s="128">
        <f>IF(ISBLANK(AA98),1,2)</f>
        <v>1</v>
      </c>
      <c r="AQ98" s="128">
        <f>IF(ISBLANK(AE98),1,2)</f>
        <v>1</v>
      </c>
      <c r="AS98" s="36"/>
      <c r="BW98" s="37"/>
      <c r="BX98" s="37"/>
      <c r="BY98" s="37"/>
      <c r="BZ98" s="37"/>
      <c r="CA98" s="37"/>
    </row>
    <row r="99" spans="1:79" ht="4.95" customHeight="1" x14ac:dyDescent="0.3">
      <c r="B99" s="1"/>
      <c r="C99" s="1"/>
      <c r="D99" s="1"/>
      <c r="E99" s="1"/>
      <c r="F99" s="1"/>
      <c r="G99" s="1"/>
      <c r="I99" s="1"/>
      <c r="J99" s="1"/>
      <c r="K99" s="1"/>
      <c r="L99" s="1"/>
      <c r="M99" s="1"/>
      <c r="N99" s="1"/>
      <c r="O99" s="1"/>
      <c r="P99" s="1"/>
      <c r="Q99" s="1"/>
      <c r="R99" s="1"/>
      <c r="S99" s="1"/>
      <c r="T99" s="1"/>
      <c r="U99" s="42"/>
      <c r="V99" s="1"/>
      <c r="W99" s="1"/>
      <c r="X99" s="1"/>
      <c r="Y99" s="1"/>
      <c r="Z99" s="1"/>
      <c r="AA99" s="1"/>
      <c r="AB99" s="1"/>
      <c r="AC99" s="1"/>
      <c r="AD99" s="1"/>
      <c r="AE99" s="1"/>
      <c r="AF99" s="1"/>
      <c r="AG99" s="1"/>
      <c r="AH99" s="1"/>
      <c r="AI99" s="1"/>
      <c r="AJ99" s="76"/>
      <c r="AM99" s="91"/>
      <c r="AN99" s="24"/>
      <c r="AS99" s="36"/>
      <c r="BW99" s="37"/>
      <c r="BX99" s="37"/>
      <c r="BY99" s="37"/>
      <c r="BZ99" s="37"/>
      <c r="CA99" s="37"/>
    </row>
    <row r="100" spans="1:79" ht="15" customHeight="1" x14ac:dyDescent="0.3">
      <c r="C100" s="2"/>
      <c r="D100" s="2" t="s">
        <v>30</v>
      </c>
      <c r="E100" s="187">
        <f>'Form 2C.1 - Design'!F141</f>
        <v>0</v>
      </c>
      <c r="F100" s="187"/>
      <c r="G100" s="187"/>
      <c r="H100" s="187"/>
      <c r="N100" s="2" t="s">
        <v>33</v>
      </c>
      <c r="O100" s="187">
        <f>'Form 2C.1 - Design'!O141</f>
        <v>0</v>
      </c>
      <c r="P100" s="187"/>
      <c r="Q100" s="187"/>
      <c r="R100" s="187"/>
      <c r="U100" s="42"/>
      <c r="X100" s="2" t="s">
        <v>30</v>
      </c>
      <c r="Y100" s="205"/>
      <c r="Z100" s="205"/>
      <c r="AA100" s="205"/>
      <c r="AB100" s="205"/>
      <c r="AG100" s="2" t="s">
        <v>33</v>
      </c>
      <c r="AH100" s="205"/>
      <c r="AI100" s="205"/>
      <c r="AJ100" s="205"/>
      <c r="AK100" s="205"/>
      <c r="AM100" s="91" t="s">
        <v>24</v>
      </c>
      <c r="AN100" s="128">
        <f>IF(ISBLANK(Y100),0,1)</f>
        <v>0</v>
      </c>
      <c r="AO100" s="91" t="s">
        <v>34</v>
      </c>
      <c r="AP100" s="128">
        <f>IF(ISBLANK(AH100),0,1)</f>
        <v>0</v>
      </c>
      <c r="AS100" s="36"/>
      <c r="BW100" s="37"/>
      <c r="BX100" s="37"/>
      <c r="BY100" s="37"/>
      <c r="BZ100" s="37"/>
      <c r="CA100" s="37"/>
    </row>
    <row r="101" spans="1:79" ht="15" customHeight="1" x14ac:dyDescent="0.3">
      <c r="C101" s="2"/>
      <c r="D101" s="2" t="s">
        <v>42</v>
      </c>
      <c r="E101" s="245">
        <f>'Form 2C.1 - Design'!F142</f>
        <v>0</v>
      </c>
      <c r="F101" s="245"/>
      <c r="G101" s="245"/>
      <c r="H101" s="40" t="s">
        <v>45</v>
      </c>
      <c r="N101" s="2" t="s">
        <v>46</v>
      </c>
      <c r="O101" s="245">
        <f>'Form 2C.1 - Design'!O142</f>
        <v>0</v>
      </c>
      <c r="P101" s="245"/>
      <c r="Q101" s="245"/>
      <c r="R101" s="40" t="s">
        <v>45</v>
      </c>
      <c r="U101" s="42"/>
      <c r="X101" s="2" t="s">
        <v>42</v>
      </c>
      <c r="Y101" s="182"/>
      <c r="Z101" s="182"/>
      <c r="AA101" s="182"/>
      <c r="AB101" s="40" t="s">
        <v>45</v>
      </c>
      <c r="AG101" s="2" t="s">
        <v>46</v>
      </c>
      <c r="AH101" s="182"/>
      <c r="AI101" s="182"/>
      <c r="AJ101" s="182"/>
      <c r="AK101" s="40" t="s">
        <v>45</v>
      </c>
      <c r="AM101" s="91" t="s">
        <v>56</v>
      </c>
      <c r="AN101" s="128">
        <f>IF(ISBLANK(Y101),0,1)</f>
        <v>0</v>
      </c>
      <c r="AO101" s="91" t="s">
        <v>83</v>
      </c>
      <c r="AP101" s="128">
        <f>IF(ISBLANK(AH101),0,1)</f>
        <v>0</v>
      </c>
      <c r="AS101" s="36"/>
      <c r="BW101" s="37"/>
      <c r="BX101" s="37"/>
      <c r="BY101" s="37"/>
      <c r="BZ101" s="37"/>
      <c r="CA101" s="37"/>
    </row>
    <row r="102" spans="1:79" ht="15" customHeight="1" x14ac:dyDescent="0.3">
      <c r="C102" s="2"/>
      <c r="D102" s="2" t="s">
        <v>48</v>
      </c>
      <c r="E102" s="245">
        <f>'Form 2C.1 - Design'!W142</f>
        <v>0</v>
      </c>
      <c r="F102" s="245"/>
      <c r="G102" s="245"/>
      <c r="H102" s="40" t="s">
        <v>45</v>
      </c>
      <c r="N102" s="2" t="s">
        <v>122</v>
      </c>
      <c r="O102" s="245">
        <f>'Form 2C.1 - Design'!AF142</f>
        <v>0</v>
      </c>
      <c r="P102" s="245"/>
      <c r="Q102" s="245"/>
      <c r="R102" s="40" t="s">
        <v>45</v>
      </c>
      <c r="U102" s="82"/>
      <c r="X102" s="2" t="s">
        <v>48</v>
      </c>
      <c r="Y102" s="182"/>
      <c r="Z102" s="182"/>
      <c r="AA102" s="182"/>
      <c r="AB102" s="40" t="s">
        <v>45</v>
      </c>
      <c r="AG102" s="2" t="s">
        <v>122</v>
      </c>
      <c r="AH102" s="182"/>
      <c r="AI102" s="182"/>
      <c r="AJ102" s="182"/>
      <c r="AK102" s="40" t="s">
        <v>45</v>
      </c>
      <c r="AM102" s="91" t="s">
        <v>84</v>
      </c>
      <c r="AN102" s="128">
        <f>IF(ISBLANK(Y102),0,1)</f>
        <v>0</v>
      </c>
      <c r="AO102" s="91" t="s">
        <v>85</v>
      </c>
      <c r="AP102" s="128">
        <f>IF(ISBLANK(AH102),0,1)</f>
        <v>0</v>
      </c>
      <c r="AS102" s="36"/>
      <c r="BW102" s="37"/>
    </row>
    <row r="103" spans="1:79" ht="4.95" customHeight="1" x14ac:dyDescent="0.3">
      <c r="B103" s="2"/>
      <c r="C103" s="2"/>
      <c r="D103" s="2"/>
      <c r="E103" s="2"/>
      <c r="F103" s="2"/>
      <c r="G103" s="2"/>
      <c r="H103" s="45"/>
      <c r="M103" s="2"/>
      <c r="N103" s="45"/>
      <c r="O103" s="45"/>
      <c r="P103" s="45"/>
      <c r="U103" s="2"/>
      <c r="V103" s="2"/>
      <c r="W103" s="45"/>
      <c r="X103" s="45"/>
      <c r="Y103" s="45"/>
      <c r="AD103" s="2"/>
      <c r="AE103" s="45"/>
      <c r="AF103" s="45"/>
      <c r="AG103" s="45"/>
      <c r="AM103" s="91"/>
      <c r="AN103" s="24"/>
      <c r="AS103" s="40"/>
      <c r="BW103" s="37"/>
    </row>
    <row r="104" spans="1:79" s="5" customFormat="1" ht="15" customHeight="1" x14ac:dyDescent="0.3">
      <c r="A104" s="256" t="s">
        <v>15</v>
      </c>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4"/>
      <c r="AN104" s="24"/>
      <c r="AO104" s="24"/>
      <c r="AP104" s="24"/>
      <c r="AQ104" s="24"/>
      <c r="BW104" s="37"/>
    </row>
    <row r="105" spans="1:79" ht="15" customHeight="1" x14ac:dyDescent="0.3">
      <c r="B105" s="1" t="s">
        <v>60</v>
      </c>
      <c r="C105" s="1"/>
      <c r="D105" s="1"/>
      <c r="E105" s="1"/>
      <c r="F105" s="1"/>
      <c r="H105" s="46" t="s">
        <v>49</v>
      </c>
      <c r="I105" s="250">
        <f>'Form 2C.1 - Design'!O144</f>
        <v>0</v>
      </c>
      <c r="J105" s="250"/>
      <c r="K105" s="250"/>
      <c r="L105" s="250"/>
      <c r="O105" s="79"/>
      <c r="P105" s="79"/>
      <c r="Q105" s="1"/>
      <c r="R105" s="1"/>
      <c r="S105" s="1"/>
      <c r="U105" s="42"/>
      <c r="V105" s="1" t="s">
        <v>61</v>
      </c>
      <c r="W105" s="1"/>
      <c r="X105" s="1"/>
      <c r="Y105" s="47"/>
      <c r="AA105" s="46"/>
      <c r="AC105" s="46" t="s">
        <v>49</v>
      </c>
      <c r="AD105" s="203"/>
      <c r="AE105" s="203"/>
      <c r="AF105" s="203"/>
      <c r="AG105" s="203"/>
      <c r="AH105" s="47"/>
      <c r="AI105" s="47"/>
      <c r="AJ105" s="47"/>
      <c r="AK105" s="47"/>
      <c r="AM105" s="91" t="s">
        <v>156</v>
      </c>
      <c r="AN105" s="128">
        <f>IF(ISBLANK(AD105),0,1)</f>
        <v>0</v>
      </c>
      <c r="BW105" s="37"/>
    </row>
    <row r="106" spans="1:79" ht="15" customHeight="1" x14ac:dyDescent="0.3">
      <c r="B106" s="1"/>
      <c r="C106" s="1"/>
      <c r="D106" s="1"/>
      <c r="E106" s="1"/>
      <c r="F106" s="1"/>
      <c r="H106" s="2" t="s">
        <v>50</v>
      </c>
      <c r="I106" s="253">
        <f>'Form 2C.1 - Design'!W144</f>
        <v>0</v>
      </c>
      <c r="J106" s="253"/>
      <c r="K106" s="253"/>
      <c r="L106" s="253"/>
      <c r="O106" s="79"/>
      <c r="P106" s="79"/>
      <c r="Q106" s="48"/>
      <c r="U106" s="82"/>
      <c r="AA106" s="2"/>
      <c r="AC106" s="2" t="s">
        <v>50</v>
      </c>
      <c r="AD106" s="254"/>
      <c r="AE106" s="254"/>
      <c r="AF106" s="254"/>
      <c r="AG106" s="254"/>
      <c r="AM106" s="91" t="s">
        <v>157</v>
      </c>
      <c r="AN106" s="128">
        <f>IF(ISBLANK(AD106),0,1)</f>
        <v>0</v>
      </c>
      <c r="AO106" s="68" t="s">
        <v>158</v>
      </c>
      <c r="AP106" s="128">
        <f>SUM(AN105:AN106)</f>
        <v>0</v>
      </c>
      <c r="BW106" s="37"/>
    </row>
    <row r="107" spans="1:79" ht="4.95" customHeight="1" x14ac:dyDescent="0.3">
      <c r="B107" s="1"/>
      <c r="C107" s="1"/>
      <c r="D107" s="1"/>
      <c r="E107" s="1"/>
      <c r="F107" s="1"/>
      <c r="G107" s="1"/>
      <c r="J107" s="2"/>
      <c r="K107" s="2"/>
      <c r="L107" s="2"/>
      <c r="M107" s="48"/>
      <c r="N107" s="48"/>
      <c r="O107" s="48"/>
      <c r="P107" s="48"/>
      <c r="Q107" s="48"/>
      <c r="U107" s="2"/>
      <c r="Z107" s="2"/>
      <c r="AA107" s="2"/>
      <c r="AB107" s="2"/>
      <c r="AC107" s="48"/>
      <c r="AD107" s="48"/>
      <c r="AE107" s="48"/>
      <c r="AF107" s="48"/>
      <c r="AM107" s="91"/>
      <c r="AN107" s="24"/>
      <c r="BW107" s="37"/>
    </row>
    <row r="108" spans="1:79" ht="15" customHeight="1" x14ac:dyDescent="0.3">
      <c r="A108" s="235" t="s">
        <v>62</v>
      </c>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91"/>
    </row>
    <row r="109" spans="1:79" ht="15" customHeight="1" x14ac:dyDescent="0.3">
      <c r="B109" s="1" t="s">
        <v>60</v>
      </c>
      <c r="C109" s="1"/>
      <c r="D109" s="1"/>
      <c r="E109" s="1"/>
      <c r="F109" s="1"/>
      <c r="I109" s="44" t="s">
        <v>63</v>
      </c>
      <c r="J109" s="241">
        <f>'Form 2C.1 - Design'!W27</f>
        <v>0</v>
      </c>
      <c r="K109" s="241"/>
      <c r="L109" s="241"/>
      <c r="M109" s="40" t="s">
        <v>39</v>
      </c>
      <c r="U109" s="42"/>
      <c r="V109" s="1" t="s">
        <v>61</v>
      </c>
      <c r="W109" s="1"/>
      <c r="X109" s="1"/>
      <c r="AC109" s="44" t="s">
        <v>64</v>
      </c>
      <c r="AD109" s="179"/>
      <c r="AE109" s="179"/>
      <c r="AF109" s="179"/>
      <c r="AG109" s="40" t="s">
        <v>39</v>
      </c>
      <c r="AM109" s="91" t="s">
        <v>161</v>
      </c>
      <c r="AN109" s="128">
        <f>IF(OR(AD109&gt;J109,AD109=J109),1,2)</f>
        <v>1</v>
      </c>
    </row>
    <row r="110" spans="1:79" ht="15" customHeight="1" x14ac:dyDescent="0.3">
      <c r="AK110" s="45"/>
      <c r="AN110" s="128">
        <f>IF(OR(J109=0,ISBLANK(AD109)),2,1)</f>
        <v>2</v>
      </c>
      <c r="AS110" s="50"/>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row>
    <row r="111" spans="1:79" ht="15" customHeight="1" x14ac:dyDescent="0.3">
      <c r="B111" s="216">
        <f>Tables!$C$13</f>
        <v>45383</v>
      </c>
      <c r="C111" s="216"/>
      <c r="D111" s="216"/>
      <c r="E111" s="216"/>
      <c r="F111" s="216"/>
      <c r="G111" s="216"/>
      <c r="H111" s="216"/>
      <c r="R111" s="184" t="s">
        <v>410</v>
      </c>
      <c r="S111" s="184"/>
      <c r="T111" s="184"/>
      <c r="U111" s="184"/>
      <c r="AK111" s="45"/>
      <c r="AS111" s="50"/>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row>
    <row r="112" spans="1:79" ht="15" customHeight="1" x14ac:dyDescent="0.3">
      <c r="C112" s="2" t="s">
        <v>1</v>
      </c>
      <c r="D112" s="187">
        <f>IF(ISBLANK($E$15),"",$E$15)</f>
        <v>0</v>
      </c>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51"/>
      <c r="AB112" s="51"/>
      <c r="AC112" s="51"/>
      <c r="AF112" s="2" t="s">
        <v>21</v>
      </c>
      <c r="AG112" s="188">
        <f>$AF$15</f>
        <v>0</v>
      </c>
      <c r="AH112" s="188"/>
      <c r="AI112" s="188"/>
      <c r="AJ112" s="188"/>
      <c r="AK112" s="188"/>
      <c r="AS112" s="50"/>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row>
    <row r="113" spans="1:75" ht="15" customHeight="1" x14ac:dyDescent="0.3">
      <c r="H113" s="52"/>
      <c r="I113" s="52"/>
      <c r="J113" s="2"/>
      <c r="K113" s="2"/>
      <c r="L113" s="2"/>
      <c r="M113" s="52"/>
      <c r="N113" s="51"/>
      <c r="O113" s="51"/>
      <c r="P113" s="51"/>
      <c r="Q113" s="51"/>
      <c r="R113" s="51"/>
      <c r="S113" s="51"/>
      <c r="T113" s="51"/>
      <c r="U113" s="51"/>
      <c r="V113" s="51"/>
      <c r="W113" s="51"/>
      <c r="X113" s="51"/>
      <c r="Y113" s="51"/>
      <c r="Z113" s="51"/>
      <c r="AA113" s="51"/>
      <c r="AB113" s="51"/>
      <c r="AC113" s="51"/>
      <c r="AF113" s="2" t="s">
        <v>35</v>
      </c>
      <c r="AG113" s="189">
        <f>IF(ISBLANK($AF$16),"",$AF$16)</f>
        <v>0</v>
      </c>
      <c r="AH113" s="189"/>
      <c r="AI113" s="189"/>
      <c r="AJ113" s="189"/>
      <c r="AK113" s="189"/>
      <c r="AS113" s="50"/>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row>
    <row r="114" spans="1:75" ht="4.95" customHeight="1" x14ac:dyDescent="0.3">
      <c r="H114" s="52"/>
      <c r="I114" s="52"/>
      <c r="J114" s="2"/>
      <c r="K114" s="2"/>
      <c r="L114" s="2"/>
      <c r="M114" s="52"/>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S114" s="50"/>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row>
    <row r="115" spans="1:75" ht="15" customHeight="1" x14ac:dyDescent="0.3">
      <c r="A115" s="235" t="s">
        <v>16</v>
      </c>
      <c r="B115" s="23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70"/>
      <c r="AN115" s="70"/>
    </row>
    <row r="116" spans="1:75" ht="15" customHeight="1" x14ac:dyDescent="0.3">
      <c r="B116" s="1" t="s">
        <v>60</v>
      </c>
      <c r="C116" s="1"/>
      <c r="D116" s="1"/>
      <c r="E116" s="1"/>
      <c r="F116" s="1"/>
      <c r="H116" s="1"/>
      <c r="U116" s="42"/>
      <c r="V116" s="1" t="s">
        <v>61</v>
      </c>
      <c r="X116" s="1"/>
      <c r="Y116" s="1"/>
    </row>
    <row r="117" spans="1:75" ht="15" customHeight="1" x14ac:dyDescent="0.3">
      <c r="C117" s="4" t="s">
        <v>17</v>
      </c>
      <c r="G117" s="184" t="s">
        <v>18</v>
      </c>
      <c r="H117" s="184"/>
      <c r="I117" s="184"/>
      <c r="J117" s="184"/>
      <c r="K117" s="4"/>
      <c r="M117" s="40" t="s">
        <v>53</v>
      </c>
      <c r="U117" s="82"/>
      <c r="W117" s="4" t="s">
        <v>17</v>
      </c>
      <c r="X117" s="4"/>
      <c r="Y117" s="4"/>
      <c r="AA117" s="184" t="s">
        <v>18</v>
      </c>
      <c r="AB117" s="184"/>
      <c r="AC117" s="184"/>
      <c r="AD117" s="184"/>
      <c r="AG117" s="40" t="s">
        <v>53</v>
      </c>
    </row>
    <row r="118" spans="1:75" ht="13.95" customHeight="1" x14ac:dyDescent="0.3">
      <c r="B118" s="242">
        <f>'Form 2C.1 - Design'!C148</f>
        <v>0</v>
      </c>
      <c r="C118" s="242"/>
      <c r="D118" s="242"/>
      <c r="E118" s="40" t="s">
        <v>45</v>
      </c>
      <c r="G118" s="237">
        <f>'Form 2C.1 - Design'!H148</f>
        <v>0</v>
      </c>
      <c r="H118" s="237"/>
      <c r="I118" s="237"/>
      <c r="J118" s="237"/>
      <c r="K118" s="40" t="s">
        <v>41</v>
      </c>
      <c r="M118" s="237">
        <f>'Form 2C.1 - Design'!M148</f>
        <v>0</v>
      </c>
      <c r="N118" s="237"/>
      <c r="O118" s="237"/>
      <c r="P118" s="237"/>
      <c r="Q118" s="40" t="s">
        <v>39</v>
      </c>
      <c r="U118" s="82"/>
      <c r="V118" s="176"/>
      <c r="W118" s="176"/>
      <c r="X118" s="176"/>
      <c r="Y118" s="40" t="s">
        <v>45</v>
      </c>
      <c r="AA118" s="179"/>
      <c r="AB118" s="179"/>
      <c r="AC118" s="179"/>
      <c r="AD118" s="179"/>
      <c r="AE118" s="40" t="s">
        <v>41</v>
      </c>
      <c r="AG118" s="179"/>
      <c r="AH118" s="179"/>
      <c r="AI118" s="179"/>
      <c r="AJ118" s="179"/>
      <c r="AK118" s="40" t="s">
        <v>39</v>
      </c>
      <c r="AM118" s="127">
        <f>IF(ISBLANK(AA118),0,1)</f>
        <v>0</v>
      </c>
      <c r="AN118" s="127">
        <f>IF(ISBLANK(AG118),0,1)</f>
        <v>0</v>
      </c>
      <c r="AO118" s="128">
        <f t="shared" ref="AO118:AO137" si="3">IF(ISBLANK(V118),1,2)</f>
        <v>1</v>
      </c>
    </row>
    <row r="119" spans="1:75" ht="13.95" customHeight="1" x14ac:dyDescent="0.3">
      <c r="B119" s="233">
        <f>'Form 2C.1 - Design'!C149</f>
        <v>0</v>
      </c>
      <c r="C119" s="233"/>
      <c r="D119" s="233"/>
      <c r="E119" s="40" t="s">
        <v>45</v>
      </c>
      <c r="G119" s="181">
        <f>'Form 2C.1 - Design'!H149</f>
        <v>0</v>
      </c>
      <c r="H119" s="181"/>
      <c r="I119" s="181"/>
      <c r="J119" s="181"/>
      <c r="K119" s="40" t="s">
        <v>41</v>
      </c>
      <c r="M119" s="237">
        <f>'Form 2C.1 - Design'!M149</f>
        <v>0</v>
      </c>
      <c r="N119" s="237"/>
      <c r="O119" s="237"/>
      <c r="P119" s="237"/>
      <c r="Q119" s="40" t="s">
        <v>39</v>
      </c>
      <c r="U119" s="82"/>
      <c r="V119" s="182"/>
      <c r="W119" s="182"/>
      <c r="X119" s="182"/>
      <c r="Y119" s="40" t="s">
        <v>45</v>
      </c>
      <c r="AA119" s="180"/>
      <c r="AB119" s="180"/>
      <c r="AC119" s="180"/>
      <c r="AD119" s="180"/>
      <c r="AE119" s="40" t="s">
        <v>41</v>
      </c>
      <c r="AG119" s="180"/>
      <c r="AH119" s="180"/>
      <c r="AI119" s="180"/>
      <c r="AJ119" s="180"/>
      <c r="AK119" s="40" t="s">
        <v>39</v>
      </c>
      <c r="AO119" s="128">
        <f t="shared" si="3"/>
        <v>1</v>
      </c>
    </row>
    <row r="120" spans="1:75" ht="13.95" customHeight="1" x14ac:dyDescent="0.3">
      <c r="B120" s="233">
        <f>'Form 2C.1 - Design'!C150</f>
        <v>0</v>
      </c>
      <c r="C120" s="233"/>
      <c r="D120" s="233"/>
      <c r="E120" s="40" t="s">
        <v>45</v>
      </c>
      <c r="G120" s="181">
        <f>'Form 2C.1 - Design'!H150</f>
        <v>0</v>
      </c>
      <c r="H120" s="181"/>
      <c r="I120" s="181"/>
      <c r="J120" s="181"/>
      <c r="K120" s="40" t="s">
        <v>41</v>
      </c>
      <c r="M120" s="237">
        <f>'Form 2C.1 - Design'!M150</f>
        <v>0</v>
      </c>
      <c r="N120" s="237"/>
      <c r="O120" s="237"/>
      <c r="P120" s="237"/>
      <c r="Q120" s="40" t="s">
        <v>39</v>
      </c>
      <c r="U120" s="82"/>
      <c r="V120" s="182"/>
      <c r="W120" s="182"/>
      <c r="X120" s="182"/>
      <c r="Y120" s="40" t="s">
        <v>45</v>
      </c>
      <c r="AA120" s="180"/>
      <c r="AB120" s="180"/>
      <c r="AC120" s="180"/>
      <c r="AD120" s="180"/>
      <c r="AE120" s="40" t="s">
        <v>41</v>
      </c>
      <c r="AG120" s="180"/>
      <c r="AH120" s="180"/>
      <c r="AI120" s="180"/>
      <c r="AJ120" s="180"/>
      <c r="AK120" s="40" t="s">
        <v>39</v>
      </c>
      <c r="AO120" s="128">
        <f t="shared" si="3"/>
        <v>1</v>
      </c>
    </row>
    <row r="121" spans="1:75" ht="13.95" customHeight="1" x14ac:dyDescent="0.3">
      <c r="B121" s="233">
        <f>'Form 2C.1 - Design'!C151</f>
        <v>0</v>
      </c>
      <c r="C121" s="233"/>
      <c r="D121" s="233"/>
      <c r="E121" s="40" t="s">
        <v>45</v>
      </c>
      <c r="G121" s="181">
        <f>'Form 2C.1 - Design'!H151</f>
        <v>0</v>
      </c>
      <c r="H121" s="181"/>
      <c r="I121" s="181"/>
      <c r="J121" s="181"/>
      <c r="K121" s="40" t="s">
        <v>41</v>
      </c>
      <c r="M121" s="237">
        <f>'Form 2C.1 - Design'!M151</f>
        <v>0</v>
      </c>
      <c r="N121" s="237"/>
      <c r="O121" s="237"/>
      <c r="P121" s="237"/>
      <c r="Q121" s="40" t="s">
        <v>39</v>
      </c>
      <c r="U121" s="82"/>
      <c r="V121" s="182"/>
      <c r="W121" s="182"/>
      <c r="X121" s="182"/>
      <c r="Y121" s="40" t="s">
        <v>45</v>
      </c>
      <c r="AA121" s="180"/>
      <c r="AB121" s="180"/>
      <c r="AC121" s="180"/>
      <c r="AD121" s="180"/>
      <c r="AE121" s="40" t="s">
        <v>41</v>
      </c>
      <c r="AG121" s="180"/>
      <c r="AH121" s="180"/>
      <c r="AI121" s="180"/>
      <c r="AJ121" s="180"/>
      <c r="AK121" s="40" t="s">
        <v>39</v>
      </c>
      <c r="AO121" s="128">
        <f t="shared" si="3"/>
        <v>1</v>
      </c>
    </row>
    <row r="122" spans="1:75" ht="13.95" customHeight="1" x14ac:dyDescent="0.3">
      <c r="B122" s="233">
        <f>'Form 2C.1 - Design'!C152</f>
        <v>0</v>
      </c>
      <c r="C122" s="233"/>
      <c r="D122" s="233"/>
      <c r="E122" s="40" t="s">
        <v>45</v>
      </c>
      <c r="G122" s="181">
        <f>'Form 2C.1 - Design'!H152</f>
        <v>0</v>
      </c>
      <c r="H122" s="181"/>
      <c r="I122" s="181"/>
      <c r="J122" s="181"/>
      <c r="K122" s="40" t="s">
        <v>41</v>
      </c>
      <c r="M122" s="237">
        <f>'Form 2C.1 - Design'!M152</f>
        <v>0</v>
      </c>
      <c r="N122" s="237"/>
      <c r="O122" s="237"/>
      <c r="P122" s="237"/>
      <c r="Q122" s="40" t="s">
        <v>39</v>
      </c>
      <c r="U122" s="82"/>
      <c r="V122" s="182"/>
      <c r="W122" s="182"/>
      <c r="X122" s="182"/>
      <c r="Y122" s="40" t="s">
        <v>45</v>
      </c>
      <c r="AA122" s="180"/>
      <c r="AB122" s="180"/>
      <c r="AC122" s="180"/>
      <c r="AD122" s="180"/>
      <c r="AE122" s="40" t="s">
        <v>41</v>
      </c>
      <c r="AG122" s="180"/>
      <c r="AH122" s="180"/>
      <c r="AI122" s="180"/>
      <c r="AJ122" s="180"/>
      <c r="AK122" s="40" t="s">
        <v>39</v>
      </c>
      <c r="AO122" s="128">
        <f t="shared" si="3"/>
        <v>1</v>
      </c>
    </row>
    <row r="123" spans="1:75" ht="13.95" customHeight="1" x14ac:dyDescent="0.3">
      <c r="B123" s="233">
        <f>'Form 2C.1 - Design'!C153</f>
        <v>0</v>
      </c>
      <c r="C123" s="233"/>
      <c r="D123" s="233"/>
      <c r="E123" s="40" t="s">
        <v>45</v>
      </c>
      <c r="G123" s="181">
        <f>'Form 2C.1 - Design'!H153</f>
        <v>0</v>
      </c>
      <c r="H123" s="181"/>
      <c r="I123" s="181"/>
      <c r="J123" s="181"/>
      <c r="K123" s="40" t="s">
        <v>41</v>
      </c>
      <c r="M123" s="237">
        <f>'Form 2C.1 - Design'!M153</f>
        <v>0</v>
      </c>
      <c r="N123" s="237"/>
      <c r="O123" s="237"/>
      <c r="P123" s="237"/>
      <c r="Q123" s="40" t="s">
        <v>39</v>
      </c>
      <c r="U123" s="82"/>
      <c r="V123" s="182"/>
      <c r="W123" s="182"/>
      <c r="X123" s="182"/>
      <c r="Y123" s="40" t="s">
        <v>45</v>
      </c>
      <c r="AA123" s="180"/>
      <c r="AB123" s="180"/>
      <c r="AC123" s="180"/>
      <c r="AD123" s="180"/>
      <c r="AE123" s="40" t="s">
        <v>41</v>
      </c>
      <c r="AG123" s="180"/>
      <c r="AH123" s="180"/>
      <c r="AI123" s="180"/>
      <c r="AJ123" s="180"/>
      <c r="AK123" s="40" t="s">
        <v>39</v>
      </c>
      <c r="AO123" s="128">
        <f t="shared" si="3"/>
        <v>1</v>
      </c>
    </row>
    <row r="124" spans="1:75" ht="13.95" customHeight="1" x14ac:dyDescent="0.3">
      <c r="B124" s="233">
        <f>'Form 2C.1 - Design'!C154</f>
        <v>0</v>
      </c>
      <c r="C124" s="233"/>
      <c r="D124" s="233"/>
      <c r="E124" s="40" t="s">
        <v>45</v>
      </c>
      <c r="G124" s="181">
        <f>'Form 2C.1 - Design'!H154</f>
        <v>0</v>
      </c>
      <c r="H124" s="181"/>
      <c r="I124" s="181"/>
      <c r="J124" s="181"/>
      <c r="K124" s="40" t="s">
        <v>41</v>
      </c>
      <c r="M124" s="237">
        <f>'Form 2C.1 - Design'!M154</f>
        <v>0</v>
      </c>
      <c r="N124" s="237"/>
      <c r="O124" s="237"/>
      <c r="P124" s="237"/>
      <c r="Q124" s="40" t="s">
        <v>39</v>
      </c>
      <c r="U124" s="82"/>
      <c r="V124" s="182"/>
      <c r="W124" s="182"/>
      <c r="X124" s="182"/>
      <c r="Y124" s="40" t="s">
        <v>45</v>
      </c>
      <c r="AA124" s="180"/>
      <c r="AB124" s="180"/>
      <c r="AC124" s="180"/>
      <c r="AD124" s="180"/>
      <c r="AE124" s="40" t="s">
        <v>41</v>
      </c>
      <c r="AG124" s="180"/>
      <c r="AH124" s="180"/>
      <c r="AI124" s="180"/>
      <c r="AJ124" s="180"/>
      <c r="AK124" s="40" t="s">
        <v>39</v>
      </c>
      <c r="AO124" s="128">
        <f t="shared" si="3"/>
        <v>1</v>
      </c>
    </row>
    <row r="125" spans="1:75" ht="13.95" customHeight="1" x14ac:dyDescent="0.3">
      <c r="B125" s="233">
        <f>'Form 2C.1 - Design'!C155</f>
        <v>0</v>
      </c>
      <c r="C125" s="233"/>
      <c r="D125" s="233"/>
      <c r="E125" s="40" t="s">
        <v>45</v>
      </c>
      <c r="G125" s="181">
        <f>'Form 2C.1 - Design'!H155</f>
        <v>0</v>
      </c>
      <c r="H125" s="181"/>
      <c r="I125" s="181"/>
      <c r="J125" s="181"/>
      <c r="K125" s="40" t="s">
        <v>41</v>
      </c>
      <c r="M125" s="237">
        <f>'Form 2C.1 - Design'!M155</f>
        <v>0</v>
      </c>
      <c r="N125" s="237"/>
      <c r="O125" s="237"/>
      <c r="P125" s="237"/>
      <c r="Q125" s="40" t="s">
        <v>39</v>
      </c>
      <c r="U125" s="82"/>
      <c r="V125" s="182"/>
      <c r="W125" s="182"/>
      <c r="X125" s="182"/>
      <c r="Y125" s="40" t="s">
        <v>45</v>
      </c>
      <c r="AA125" s="180"/>
      <c r="AB125" s="180"/>
      <c r="AC125" s="180"/>
      <c r="AD125" s="180"/>
      <c r="AE125" s="40" t="s">
        <v>41</v>
      </c>
      <c r="AG125" s="180"/>
      <c r="AH125" s="180"/>
      <c r="AI125" s="180"/>
      <c r="AJ125" s="180"/>
      <c r="AK125" s="40" t="s">
        <v>39</v>
      </c>
      <c r="AO125" s="128">
        <f t="shared" si="3"/>
        <v>1</v>
      </c>
    </row>
    <row r="126" spans="1:75" ht="13.95" customHeight="1" x14ac:dyDescent="0.3">
      <c r="B126" s="233">
        <f>'Form 2C.1 - Design'!C156</f>
        <v>0</v>
      </c>
      <c r="C126" s="233"/>
      <c r="D126" s="233"/>
      <c r="E126" s="40" t="s">
        <v>45</v>
      </c>
      <c r="G126" s="181">
        <f>'Form 2C.1 - Design'!H156</f>
        <v>0</v>
      </c>
      <c r="H126" s="181"/>
      <c r="I126" s="181"/>
      <c r="J126" s="181"/>
      <c r="K126" s="40" t="s">
        <v>41</v>
      </c>
      <c r="M126" s="237">
        <f>'Form 2C.1 - Design'!M156</f>
        <v>0</v>
      </c>
      <c r="N126" s="237"/>
      <c r="O126" s="237"/>
      <c r="P126" s="237"/>
      <c r="Q126" s="40" t="s">
        <v>39</v>
      </c>
      <c r="U126" s="82"/>
      <c r="V126" s="182"/>
      <c r="W126" s="182"/>
      <c r="X126" s="182"/>
      <c r="Y126" s="40" t="s">
        <v>45</v>
      </c>
      <c r="AA126" s="180"/>
      <c r="AB126" s="180"/>
      <c r="AC126" s="180"/>
      <c r="AD126" s="180"/>
      <c r="AE126" s="40" t="s">
        <v>41</v>
      </c>
      <c r="AG126" s="180"/>
      <c r="AH126" s="180"/>
      <c r="AI126" s="180"/>
      <c r="AJ126" s="180"/>
      <c r="AK126" s="40" t="s">
        <v>39</v>
      </c>
      <c r="AO126" s="128">
        <f t="shared" si="3"/>
        <v>1</v>
      </c>
    </row>
    <row r="127" spans="1:75" ht="13.95" customHeight="1" x14ac:dyDescent="0.3">
      <c r="B127" s="233">
        <f>'Form 2C.1 - Design'!C157</f>
        <v>0</v>
      </c>
      <c r="C127" s="233"/>
      <c r="D127" s="233"/>
      <c r="E127" s="40" t="s">
        <v>45</v>
      </c>
      <c r="G127" s="181">
        <f>'Form 2C.1 - Design'!H157</f>
        <v>0</v>
      </c>
      <c r="H127" s="181"/>
      <c r="I127" s="181"/>
      <c r="J127" s="181"/>
      <c r="K127" s="40" t="s">
        <v>41</v>
      </c>
      <c r="M127" s="237">
        <f>'Form 2C.1 - Design'!M157</f>
        <v>0</v>
      </c>
      <c r="N127" s="237"/>
      <c r="O127" s="237"/>
      <c r="P127" s="237"/>
      <c r="Q127" s="40" t="s">
        <v>39</v>
      </c>
      <c r="U127" s="82"/>
      <c r="V127" s="182"/>
      <c r="W127" s="182"/>
      <c r="X127" s="182"/>
      <c r="Y127" s="40" t="s">
        <v>45</v>
      </c>
      <c r="AA127" s="180"/>
      <c r="AB127" s="180"/>
      <c r="AC127" s="180"/>
      <c r="AD127" s="180"/>
      <c r="AE127" s="40" t="s">
        <v>41</v>
      </c>
      <c r="AG127" s="180"/>
      <c r="AH127" s="180"/>
      <c r="AI127" s="180"/>
      <c r="AJ127" s="180"/>
      <c r="AK127" s="40" t="s">
        <v>39</v>
      </c>
      <c r="AO127" s="128">
        <f t="shared" si="3"/>
        <v>1</v>
      </c>
    </row>
    <row r="128" spans="1:75" ht="13.95" customHeight="1" x14ac:dyDescent="0.3">
      <c r="B128" s="233">
        <f>'Form 2C.1 - Design'!S148</f>
        <v>0</v>
      </c>
      <c r="C128" s="233"/>
      <c r="D128" s="233"/>
      <c r="E128" s="40" t="s">
        <v>45</v>
      </c>
      <c r="G128" s="181">
        <f>'Form 2C.1 - Design'!X148</f>
        <v>0</v>
      </c>
      <c r="H128" s="181"/>
      <c r="I128" s="181"/>
      <c r="J128" s="181"/>
      <c r="K128" s="40" t="s">
        <v>41</v>
      </c>
      <c r="M128" s="237">
        <f>'Form 2C.1 - Design'!AC148</f>
        <v>0</v>
      </c>
      <c r="N128" s="237"/>
      <c r="O128" s="237"/>
      <c r="P128" s="237"/>
      <c r="Q128" s="40" t="s">
        <v>39</v>
      </c>
      <c r="U128" s="82"/>
      <c r="V128" s="182"/>
      <c r="W128" s="182"/>
      <c r="X128" s="182"/>
      <c r="Y128" s="40" t="s">
        <v>45</v>
      </c>
      <c r="AA128" s="180"/>
      <c r="AB128" s="180"/>
      <c r="AC128" s="180"/>
      <c r="AD128" s="180"/>
      <c r="AE128" s="40" t="s">
        <v>41</v>
      </c>
      <c r="AG128" s="180"/>
      <c r="AH128" s="180"/>
      <c r="AI128" s="180"/>
      <c r="AJ128" s="180"/>
      <c r="AK128" s="40" t="s">
        <v>39</v>
      </c>
      <c r="AO128" s="128">
        <f t="shared" si="3"/>
        <v>1</v>
      </c>
    </row>
    <row r="129" spans="1:41" ht="13.95" customHeight="1" x14ac:dyDescent="0.3">
      <c r="B129" s="233">
        <f>'Form 2C.1 - Design'!S149</f>
        <v>0</v>
      </c>
      <c r="C129" s="233"/>
      <c r="D129" s="233"/>
      <c r="E129" s="40" t="s">
        <v>45</v>
      </c>
      <c r="G129" s="181">
        <f>'Form 2C.1 - Design'!X149</f>
        <v>0</v>
      </c>
      <c r="H129" s="181"/>
      <c r="I129" s="181"/>
      <c r="J129" s="181"/>
      <c r="K129" s="40" t="s">
        <v>41</v>
      </c>
      <c r="M129" s="237">
        <f>'Form 2C.1 - Design'!AC149</f>
        <v>0</v>
      </c>
      <c r="N129" s="237"/>
      <c r="O129" s="237"/>
      <c r="P129" s="237"/>
      <c r="Q129" s="40" t="s">
        <v>39</v>
      </c>
      <c r="U129" s="82"/>
      <c r="V129" s="182"/>
      <c r="W129" s="182"/>
      <c r="X129" s="182"/>
      <c r="Y129" s="40" t="s">
        <v>45</v>
      </c>
      <c r="AA129" s="180"/>
      <c r="AB129" s="180"/>
      <c r="AC129" s="180"/>
      <c r="AD129" s="180"/>
      <c r="AE129" s="40" t="s">
        <v>41</v>
      </c>
      <c r="AG129" s="180"/>
      <c r="AH129" s="180"/>
      <c r="AI129" s="180"/>
      <c r="AJ129" s="180"/>
      <c r="AK129" s="40" t="s">
        <v>39</v>
      </c>
      <c r="AO129" s="128">
        <f t="shared" si="3"/>
        <v>1</v>
      </c>
    </row>
    <row r="130" spans="1:41" ht="13.95" customHeight="1" x14ac:dyDescent="0.3">
      <c r="B130" s="233">
        <f>'Form 2C.1 - Design'!S150</f>
        <v>0</v>
      </c>
      <c r="C130" s="233"/>
      <c r="D130" s="233"/>
      <c r="E130" s="40" t="s">
        <v>45</v>
      </c>
      <c r="G130" s="181">
        <f>'Form 2C.1 - Design'!X150</f>
        <v>0</v>
      </c>
      <c r="H130" s="181"/>
      <c r="I130" s="181"/>
      <c r="J130" s="181"/>
      <c r="K130" s="40" t="s">
        <v>41</v>
      </c>
      <c r="M130" s="237">
        <f>'Form 2C.1 - Design'!AC150</f>
        <v>0</v>
      </c>
      <c r="N130" s="237"/>
      <c r="O130" s="237"/>
      <c r="P130" s="237"/>
      <c r="Q130" s="40" t="s">
        <v>39</v>
      </c>
      <c r="U130" s="82"/>
      <c r="V130" s="182"/>
      <c r="W130" s="182"/>
      <c r="X130" s="182"/>
      <c r="Y130" s="40" t="s">
        <v>45</v>
      </c>
      <c r="AA130" s="180"/>
      <c r="AB130" s="180"/>
      <c r="AC130" s="180"/>
      <c r="AD130" s="180"/>
      <c r="AE130" s="40" t="s">
        <v>41</v>
      </c>
      <c r="AG130" s="180"/>
      <c r="AH130" s="180"/>
      <c r="AI130" s="180"/>
      <c r="AJ130" s="180"/>
      <c r="AK130" s="40" t="s">
        <v>39</v>
      </c>
      <c r="AO130" s="128">
        <f t="shared" si="3"/>
        <v>1</v>
      </c>
    </row>
    <row r="131" spans="1:41" ht="13.95" customHeight="1" x14ac:dyDescent="0.3">
      <c r="B131" s="233">
        <f>'Form 2C.1 - Design'!S151</f>
        <v>0</v>
      </c>
      <c r="C131" s="233"/>
      <c r="D131" s="233"/>
      <c r="E131" s="40" t="s">
        <v>45</v>
      </c>
      <c r="G131" s="181">
        <f>'Form 2C.1 - Design'!X151</f>
        <v>0</v>
      </c>
      <c r="H131" s="181"/>
      <c r="I131" s="181"/>
      <c r="J131" s="181"/>
      <c r="K131" s="40" t="s">
        <v>41</v>
      </c>
      <c r="M131" s="237">
        <f>'Form 2C.1 - Design'!AC151</f>
        <v>0</v>
      </c>
      <c r="N131" s="237"/>
      <c r="O131" s="237"/>
      <c r="P131" s="237"/>
      <c r="Q131" s="40" t="s">
        <v>39</v>
      </c>
      <c r="U131" s="82"/>
      <c r="V131" s="182"/>
      <c r="W131" s="182"/>
      <c r="X131" s="182"/>
      <c r="Y131" s="40" t="s">
        <v>45</v>
      </c>
      <c r="AA131" s="180"/>
      <c r="AB131" s="180"/>
      <c r="AC131" s="180"/>
      <c r="AD131" s="180"/>
      <c r="AE131" s="40" t="s">
        <v>41</v>
      </c>
      <c r="AG131" s="180"/>
      <c r="AH131" s="180"/>
      <c r="AI131" s="180"/>
      <c r="AJ131" s="180"/>
      <c r="AK131" s="40" t="s">
        <v>39</v>
      </c>
      <c r="AO131" s="128">
        <f t="shared" si="3"/>
        <v>1</v>
      </c>
    </row>
    <row r="132" spans="1:41" ht="13.95" customHeight="1" x14ac:dyDescent="0.3">
      <c r="B132" s="233">
        <f>'Form 2C.1 - Design'!S152</f>
        <v>0</v>
      </c>
      <c r="C132" s="233"/>
      <c r="D132" s="233"/>
      <c r="E132" s="40" t="s">
        <v>45</v>
      </c>
      <c r="G132" s="181">
        <f>'Form 2C.1 - Design'!X152</f>
        <v>0</v>
      </c>
      <c r="H132" s="181"/>
      <c r="I132" s="181"/>
      <c r="J132" s="181"/>
      <c r="K132" s="40" t="s">
        <v>41</v>
      </c>
      <c r="M132" s="237">
        <f>'Form 2C.1 - Design'!AC152</f>
        <v>0</v>
      </c>
      <c r="N132" s="237"/>
      <c r="O132" s="237"/>
      <c r="P132" s="237"/>
      <c r="Q132" s="40" t="s">
        <v>39</v>
      </c>
      <c r="U132" s="82"/>
      <c r="V132" s="182"/>
      <c r="W132" s="182"/>
      <c r="X132" s="182"/>
      <c r="Y132" s="40" t="s">
        <v>45</v>
      </c>
      <c r="AA132" s="180"/>
      <c r="AB132" s="180"/>
      <c r="AC132" s="180"/>
      <c r="AD132" s="180"/>
      <c r="AE132" s="40" t="s">
        <v>41</v>
      </c>
      <c r="AG132" s="180"/>
      <c r="AH132" s="180"/>
      <c r="AI132" s="180"/>
      <c r="AJ132" s="180"/>
      <c r="AK132" s="40" t="s">
        <v>39</v>
      </c>
      <c r="AO132" s="128">
        <f t="shared" si="3"/>
        <v>1</v>
      </c>
    </row>
    <row r="133" spans="1:41" ht="13.95" customHeight="1" x14ac:dyDescent="0.3">
      <c r="B133" s="233">
        <f>'Form 2C.1 - Design'!S153</f>
        <v>0</v>
      </c>
      <c r="C133" s="233"/>
      <c r="D133" s="233"/>
      <c r="E133" s="40" t="s">
        <v>45</v>
      </c>
      <c r="G133" s="181">
        <f>'Form 2C.1 - Design'!X153</f>
        <v>0</v>
      </c>
      <c r="H133" s="181"/>
      <c r="I133" s="181"/>
      <c r="J133" s="181"/>
      <c r="K133" s="40" t="s">
        <v>41</v>
      </c>
      <c r="M133" s="237">
        <f>'Form 2C.1 - Design'!AC153</f>
        <v>0</v>
      </c>
      <c r="N133" s="237"/>
      <c r="O133" s="237"/>
      <c r="P133" s="237"/>
      <c r="Q133" s="40" t="s">
        <v>39</v>
      </c>
      <c r="U133" s="82"/>
      <c r="V133" s="182"/>
      <c r="W133" s="182"/>
      <c r="X133" s="182"/>
      <c r="Y133" s="40" t="s">
        <v>45</v>
      </c>
      <c r="AA133" s="180"/>
      <c r="AB133" s="180"/>
      <c r="AC133" s="180"/>
      <c r="AD133" s="180"/>
      <c r="AE133" s="40" t="s">
        <v>41</v>
      </c>
      <c r="AG133" s="180"/>
      <c r="AH133" s="180"/>
      <c r="AI133" s="180"/>
      <c r="AJ133" s="180"/>
      <c r="AK133" s="40" t="s">
        <v>39</v>
      </c>
      <c r="AO133" s="128">
        <f t="shared" si="3"/>
        <v>1</v>
      </c>
    </row>
    <row r="134" spans="1:41" ht="13.95" customHeight="1" x14ac:dyDescent="0.3">
      <c r="B134" s="233">
        <f>'Form 2C.1 - Design'!S154</f>
        <v>0</v>
      </c>
      <c r="C134" s="233"/>
      <c r="D134" s="233"/>
      <c r="E134" s="40" t="s">
        <v>45</v>
      </c>
      <c r="G134" s="181">
        <f>'Form 2C.1 - Design'!X154</f>
        <v>0</v>
      </c>
      <c r="H134" s="181"/>
      <c r="I134" s="181"/>
      <c r="J134" s="181"/>
      <c r="K134" s="40" t="s">
        <v>41</v>
      </c>
      <c r="M134" s="237">
        <f>'Form 2C.1 - Design'!AC154</f>
        <v>0</v>
      </c>
      <c r="N134" s="237"/>
      <c r="O134" s="237"/>
      <c r="P134" s="237"/>
      <c r="Q134" s="40" t="s">
        <v>39</v>
      </c>
      <c r="U134" s="82"/>
      <c r="V134" s="182"/>
      <c r="W134" s="182"/>
      <c r="X134" s="182"/>
      <c r="Y134" s="40" t="s">
        <v>45</v>
      </c>
      <c r="AA134" s="180"/>
      <c r="AB134" s="180"/>
      <c r="AC134" s="180"/>
      <c r="AD134" s="180"/>
      <c r="AE134" s="40" t="s">
        <v>41</v>
      </c>
      <c r="AG134" s="180"/>
      <c r="AH134" s="180"/>
      <c r="AI134" s="180"/>
      <c r="AJ134" s="180"/>
      <c r="AK134" s="40" t="s">
        <v>39</v>
      </c>
      <c r="AO134" s="128">
        <f t="shared" si="3"/>
        <v>1</v>
      </c>
    </row>
    <row r="135" spans="1:41" ht="13.95" customHeight="1" x14ac:dyDescent="0.3">
      <c r="B135" s="233">
        <f>'Form 2C.1 - Design'!S155</f>
        <v>0</v>
      </c>
      <c r="C135" s="233"/>
      <c r="D135" s="233"/>
      <c r="E135" s="40" t="s">
        <v>45</v>
      </c>
      <c r="G135" s="181">
        <f>'Form 2C.1 - Design'!X155</f>
        <v>0</v>
      </c>
      <c r="H135" s="181"/>
      <c r="I135" s="181"/>
      <c r="J135" s="181"/>
      <c r="K135" s="40" t="s">
        <v>41</v>
      </c>
      <c r="M135" s="237">
        <f>'Form 2C.1 - Design'!AC155</f>
        <v>0</v>
      </c>
      <c r="N135" s="237"/>
      <c r="O135" s="237"/>
      <c r="P135" s="237"/>
      <c r="Q135" s="40" t="s">
        <v>39</v>
      </c>
      <c r="U135" s="82"/>
      <c r="V135" s="182"/>
      <c r="W135" s="182"/>
      <c r="X135" s="182"/>
      <c r="Y135" s="40" t="s">
        <v>45</v>
      </c>
      <c r="AA135" s="180"/>
      <c r="AB135" s="180"/>
      <c r="AC135" s="180"/>
      <c r="AD135" s="180"/>
      <c r="AE135" s="40" t="s">
        <v>41</v>
      </c>
      <c r="AG135" s="180"/>
      <c r="AH135" s="180"/>
      <c r="AI135" s="180"/>
      <c r="AJ135" s="180"/>
      <c r="AK135" s="40" t="s">
        <v>39</v>
      </c>
      <c r="AO135" s="128">
        <f t="shared" si="3"/>
        <v>1</v>
      </c>
    </row>
    <row r="136" spans="1:41" ht="13.95" customHeight="1" x14ac:dyDescent="0.3">
      <c r="B136" s="233">
        <f>'Form 2C.1 - Design'!S156</f>
        <v>0</v>
      </c>
      <c r="C136" s="233"/>
      <c r="D136" s="233"/>
      <c r="E136" s="40" t="s">
        <v>45</v>
      </c>
      <c r="G136" s="181">
        <f>'Form 2C.1 - Design'!X156</f>
        <v>0</v>
      </c>
      <c r="H136" s="181"/>
      <c r="I136" s="181"/>
      <c r="J136" s="181"/>
      <c r="K136" s="40" t="s">
        <v>41</v>
      </c>
      <c r="M136" s="237">
        <f>'Form 2C.1 - Design'!AC156</f>
        <v>0</v>
      </c>
      <c r="N136" s="237"/>
      <c r="O136" s="237"/>
      <c r="P136" s="237"/>
      <c r="Q136" s="40" t="s">
        <v>39</v>
      </c>
      <c r="U136" s="82"/>
      <c r="V136" s="182"/>
      <c r="W136" s="182"/>
      <c r="X136" s="182"/>
      <c r="Y136" s="40" t="s">
        <v>45</v>
      </c>
      <c r="AA136" s="180"/>
      <c r="AB136" s="180"/>
      <c r="AC136" s="180"/>
      <c r="AD136" s="180"/>
      <c r="AE136" s="40" t="s">
        <v>41</v>
      </c>
      <c r="AG136" s="180"/>
      <c r="AH136" s="180"/>
      <c r="AI136" s="180"/>
      <c r="AJ136" s="180"/>
      <c r="AK136" s="40" t="s">
        <v>39</v>
      </c>
      <c r="AO136" s="128">
        <f t="shared" si="3"/>
        <v>1</v>
      </c>
    </row>
    <row r="137" spans="1:41" ht="13.95" customHeight="1" x14ac:dyDescent="0.3">
      <c r="B137" s="233">
        <f>'Form 2C.1 - Design'!S157</f>
        <v>0</v>
      </c>
      <c r="C137" s="233"/>
      <c r="D137" s="233"/>
      <c r="E137" s="40" t="s">
        <v>45</v>
      </c>
      <c r="G137" s="181">
        <f>'Form 2C.1 - Design'!X157</f>
        <v>0</v>
      </c>
      <c r="H137" s="181"/>
      <c r="I137" s="181"/>
      <c r="J137" s="181"/>
      <c r="K137" s="40" t="s">
        <v>41</v>
      </c>
      <c r="M137" s="237">
        <f>'Form 2C.1 - Design'!AC157</f>
        <v>0</v>
      </c>
      <c r="N137" s="237"/>
      <c r="O137" s="237"/>
      <c r="P137" s="237"/>
      <c r="Q137" s="40" t="s">
        <v>39</v>
      </c>
      <c r="U137" s="82"/>
      <c r="V137" s="182"/>
      <c r="W137" s="182"/>
      <c r="X137" s="182"/>
      <c r="Y137" s="40" t="s">
        <v>45</v>
      </c>
      <c r="AA137" s="180"/>
      <c r="AB137" s="180"/>
      <c r="AC137" s="180"/>
      <c r="AD137" s="180"/>
      <c r="AE137" s="40" t="s">
        <v>41</v>
      </c>
      <c r="AG137" s="180"/>
      <c r="AH137" s="180"/>
      <c r="AI137" s="180"/>
      <c r="AJ137" s="180"/>
      <c r="AK137" s="40" t="s">
        <v>39</v>
      </c>
      <c r="AO137" s="128">
        <f t="shared" si="3"/>
        <v>1</v>
      </c>
    </row>
    <row r="138" spans="1:41" ht="4.95" customHeight="1" x14ac:dyDescent="0.3">
      <c r="H138" s="45"/>
      <c r="J138" s="49"/>
      <c r="K138" s="49"/>
      <c r="L138" s="49"/>
      <c r="N138" s="53"/>
      <c r="O138" s="53"/>
      <c r="P138" s="53"/>
      <c r="Q138" s="53"/>
      <c r="W138" s="45"/>
      <c r="X138" s="45"/>
      <c r="Y138" s="45"/>
      <c r="AA138" s="49"/>
      <c r="AB138" s="49"/>
      <c r="AC138" s="49"/>
      <c r="AE138" s="53"/>
      <c r="AF138" s="53"/>
      <c r="AG138" s="53"/>
      <c r="AH138" s="53"/>
    </row>
    <row r="139" spans="1:41" ht="15" customHeight="1" x14ac:dyDescent="0.3">
      <c r="A139" s="235" t="s">
        <v>273</v>
      </c>
      <c r="B139" s="235"/>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70"/>
      <c r="AN139" s="70"/>
    </row>
    <row r="140" spans="1:41" ht="14.55" customHeight="1" x14ac:dyDescent="0.3">
      <c r="A140" s="22"/>
      <c r="B140" s="22"/>
      <c r="C140" s="22"/>
      <c r="D140" s="22"/>
      <c r="E140" s="22"/>
      <c r="F140" s="22"/>
      <c r="G140" s="22"/>
      <c r="H140" s="22"/>
      <c r="I140" s="22"/>
      <c r="J140" s="22"/>
      <c r="K140" s="22"/>
      <c r="L140" s="22"/>
      <c r="M140" s="22"/>
      <c r="N140" s="184" t="s">
        <v>228</v>
      </c>
      <c r="O140" s="184"/>
      <c r="P140" s="184"/>
      <c r="Q140" s="184"/>
      <c r="R140" s="184"/>
      <c r="S140" s="184"/>
      <c r="T140" s="184"/>
      <c r="U140" s="184"/>
      <c r="V140" s="184"/>
      <c r="W140" s="22"/>
      <c r="X140" s="22"/>
      <c r="Y140" s="22"/>
      <c r="Z140" s="22"/>
      <c r="AA140" s="22"/>
      <c r="AB140" s="22"/>
      <c r="AC140" s="22"/>
      <c r="AD140" s="22"/>
      <c r="AE140" s="22"/>
      <c r="AF140" s="22"/>
      <c r="AG140" s="22"/>
      <c r="AH140" s="22"/>
      <c r="AI140" s="22"/>
      <c r="AJ140" s="22"/>
      <c r="AK140" s="22"/>
      <c r="AL140" s="22"/>
      <c r="AM140" s="70"/>
      <c r="AN140" s="70"/>
    </row>
    <row r="141" spans="1:41" ht="30" customHeight="1" x14ac:dyDescent="0.3">
      <c r="B141" s="1" t="s">
        <v>60</v>
      </c>
      <c r="I141" s="236" t="s">
        <v>136</v>
      </c>
      <c r="J141" s="236"/>
      <c r="K141" s="236"/>
      <c r="L141" s="236"/>
      <c r="M141" s="1"/>
      <c r="N141" s="236" t="s">
        <v>282</v>
      </c>
      <c r="O141" s="236"/>
      <c r="P141" s="236"/>
      <c r="Q141" s="236"/>
      <c r="S141" s="236" t="s">
        <v>283</v>
      </c>
      <c r="T141" s="236"/>
      <c r="U141" s="236"/>
      <c r="V141" s="236"/>
      <c r="X141" s="236" t="s">
        <v>67</v>
      </c>
      <c r="Y141" s="236"/>
      <c r="Z141" s="236"/>
      <c r="AA141" s="236"/>
      <c r="AC141" s="236" t="s">
        <v>297</v>
      </c>
      <c r="AD141" s="236"/>
      <c r="AE141" s="236"/>
      <c r="AF141" s="236"/>
      <c r="AH141" s="236" t="s">
        <v>139</v>
      </c>
      <c r="AI141" s="236"/>
      <c r="AJ141" s="236"/>
      <c r="AK141" s="236"/>
    </row>
    <row r="142" spans="1:41" ht="14.55" customHeight="1" x14ac:dyDescent="0.3">
      <c r="C142" s="190">
        <f>Tables!$C$16</f>
        <v>4.21</v>
      </c>
      <c r="D142" s="190"/>
      <c r="G142" s="2" t="str">
        <f>Tables!$A$16</f>
        <v>(2-yr)</v>
      </c>
      <c r="I142" s="212">
        <f>'Form 2C.1 - Design'!M165</f>
        <v>0</v>
      </c>
      <c r="J142" s="212"/>
      <c r="K142" s="212"/>
      <c r="L142" s="212"/>
      <c r="N142" s="231">
        <f>'Form 2C.1 - Design'!Q165</f>
        <v>0</v>
      </c>
      <c r="O142" s="231"/>
      <c r="P142" s="231"/>
      <c r="Q142" s="231"/>
      <c r="S142" s="231">
        <f>'Form 2C.1 - Design'!U165</f>
        <v>0</v>
      </c>
      <c r="T142" s="231"/>
      <c r="U142" s="231"/>
      <c r="V142" s="231"/>
      <c r="X142" s="231">
        <f>'Form 2C.1 - Design'!Y165</f>
        <v>0</v>
      </c>
      <c r="Y142" s="231"/>
      <c r="Z142" s="231"/>
      <c r="AA142" s="231"/>
      <c r="AC142" s="231">
        <f>'Form 2C.1 - Design'!AC165</f>
        <v>0</v>
      </c>
      <c r="AD142" s="231"/>
      <c r="AE142" s="231"/>
      <c r="AF142" s="231"/>
      <c r="AH142" s="231">
        <f>'Form 2C.1 - Design'!AG165</f>
        <v>0</v>
      </c>
      <c r="AI142" s="231"/>
      <c r="AJ142" s="231"/>
      <c r="AK142" s="231"/>
    </row>
    <row r="143" spans="1:41" ht="14.55" customHeight="1" x14ac:dyDescent="0.3">
      <c r="C143" s="190">
        <f>Tables!$C$17</f>
        <v>5.24</v>
      </c>
      <c r="D143" s="190"/>
      <c r="G143" s="2" t="str">
        <f>Tables!$A$17</f>
        <v>(5-yr)</v>
      </c>
      <c r="I143" s="212">
        <f>'Form 2C.1 - Design'!M166</f>
        <v>0</v>
      </c>
      <c r="J143" s="212"/>
      <c r="K143" s="212"/>
      <c r="L143" s="212"/>
      <c r="N143" s="234">
        <f>'Form 2C.1 - Design'!Q166</f>
        <v>0</v>
      </c>
      <c r="O143" s="234"/>
      <c r="P143" s="234"/>
      <c r="Q143" s="234"/>
      <c r="S143" s="234">
        <f>'Form 2C.1 - Design'!U166</f>
        <v>0</v>
      </c>
      <c r="T143" s="234"/>
      <c r="U143" s="234"/>
      <c r="V143" s="234"/>
      <c r="X143" s="234">
        <f>'Form 2C.1 - Design'!Y166</f>
        <v>0</v>
      </c>
      <c r="Y143" s="234"/>
      <c r="Z143" s="234"/>
      <c r="AA143" s="234"/>
      <c r="AC143" s="234">
        <f>'Form 2C.1 - Design'!AC166</f>
        <v>0</v>
      </c>
      <c r="AD143" s="234"/>
      <c r="AE143" s="234"/>
      <c r="AF143" s="234"/>
      <c r="AH143" s="234">
        <f>'Form 2C.1 - Design'!AG166</f>
        <v>0</v>
      </c>
      <c r="AI143" s="234"/>
      <c r="AJ143" s="234"/>
      <c r="AK143" s="234"/>
    </row>
    <row r="144" spans="1:41" ht="14.55" customHeight="1" x14ac:dyDescent="0.3">
      <c r="C144" s="190">
        <f>Tables!$C$18</f>
        <v>6.17</v>
      </c>
      <c r="D144" s="190"/>
      <c r="G144" s="2" t="str">
        <f>Tables!$A$18</f>
        <v>(10-yr)</v>
      </c>
      <c r="I144" s="212">
        <f>'Form 2C.1 - Design'!M167</f>
        <v>0</v>
      </c>
      <c r="J144" s="212"/>
      <c r="K144" s="212"/>
      <c r="L144" s="212"/>
      <c r="N144" s="234">
        <f>'Form 2C.1 - Design'!Q167</f>
        <v>0</v>
      </c>
      <c r="O144" s="234"/>
      <c r="P144" s="234"/>
      <c r="Q144" s="234"/>
      <c r="S144" s="234">
        <f>'Form 2C.1 - Design'!U167</f>
        <v>0</v>
      </c>
      <c r="T144" s="234"/>
      <c r="U144" s="234"/>
      <c r="V144" s="234"/>
      <c r="X144" s="234">
        <f>'Form 2C.1 - Design'!Y167</f>
        <v>0</v>
      </c>
      <c r="Y144" s="234"/>
      <c r="Z144" s="234"/>
      <c r="AA144" s="234"/>
      <c r="AC144" s="234">
        <f>'Form 2C.1 - Design'!AC167</f>
        <v>0</v>
      </c>
      <c r="AD144" s="234"/>
      <c r="AE144" s="234"/>
      <c r="AF144" s="234"/>
      <c r="AH144" s="234">
        <f>'Form 2C.1 - Design'!AG167</f>
        <v>0</v>
      </c>
      <c r="AI144" s="234"/>
      <c r="AJ144" s="234"/>
      <c r="AK144" s="234"/>
    </row>
    <row r="145" spans="2:43" ht="14.55" customHeight="1" x14ac:dyDescent="0.3">
      <c r="C145" s="190">
        <f>Tables!$C$19</f>
        <v>7.55</v>
      </c>
      <c r="D145" s="190"/>
      <c r="G145" s="2" t="str">
        <f>Tables!$A$19</f>
        <v>(25-yr)</v>
      </c>
      <c r="I145" s="212">
        <f>'Form 2C.1 - Design'!M168</f>
        <v>0</v>
      </c>
      <c r="J145" s="212"/>
      <c r="K145" s="212"/>
      <c r="L145" s="212"/>
      <c r="N145" s="234">
        <f>'Form 2C.1 - Design'!Q168</f>
        <v>0</v>
      </c>
      <c r="O145" s="234"/>
      <c r="P145" s="234"/>
      <c r="Q145" s="234"/>
      <c r="S145" s="234">
        <f>'Form 2C.1 - Design'!U168</f>
        <v>0</v>
      </c>
      <c r="T145" s="234"/>
      <c r="U145" s="234"/>
      <c r="V145" s="234"/>
      <c r="X145" s="234">
        <f>'Form 2C.1 - Design'!Y168</f>
        <v>0</v>
      </c>
      <c r="Y145" s="234"/>
      <c r="Z145" s="234"/>
      <c r="AA145" s="234"/>
      <c r="AC145" s="234">
        <f>'Form 2C.1 - Design'!AC168</f>
        <v>0</v>
      </c>
      <c r="AD145" s="234"/>
      <c r="AE145" s="234"/>
      <c r="AF145" s="234"/>
      <c r="AH145" s="234">
        <f>'Form 2C.1 - Design'!AG168</f>
        <v>0</v>
      </c>
      <c r="AI145" s="234"/>
      <c r="AJ145" s="234"/>
      <c r="AK145" s="234"/>
      <c r="AM145" s="15" t="s">
        <v>292</v>
      </c>
      <c r="AO145" s="91" t="s">
        <v>381</v>
      </c>
      <c r="AP145" s="133">
        <f>Tables!C26</f>
        <v>6</v>
      </c>
    </row>
    <row r="146" spans="2:43" ht="14.55" customHeight="1" x14ac:dyDescent="0.3">
      <c r="C146" s="190">
        <f>Tables!$C$20</f>
        <v>8.6999999999999993</v>
      </c>
      <c r="D146" s="190"/>
      <c r="G146" s="2" t="str">
        <f>Tables!$A$20</f>
        <v>(50-yr)</v>
      </c>
      <c r="I146" s="212">
        <f>'Form 2C.1 - Design'!M169</f>
        <v>0</v>
      </c>
      <c r="J146" s="212"/>
      <c r="K146" s="212"/>
      <c r="L146" s="212"/>
      <c r="N146" s="234">
        <f>'Form 2C.1 - Design'!Q169</f>
        <v>0</v>
      </c>
      <c r="O146" s="234"/>
      <c r="P146" s="234"/>
      <c r="Q146" s="234"/>
      <c r="S146" s="234">
        <f>'Form 2C.1 - Design'!U169</f>
        <v>0</v>
      </c>
      <c r="T146" s="234"/>
      <c r="U146" s="234"/>
      <c r="V146" s="234"/>
      <c r="X146" s="234">
        <f>'Form 2C.1 - Design'!Y169</f>
        <v>0</v>
      </c>
      <c r="Y146" s="234"/>
      <c r="Z146" s="234"/>
      <c r="AA146" s="234"/>
      <c r="AC146" s="234">
        <f>'Form 2C.1 - Design'!AC169</f>
        <v>0</v>
      </c>
      <c r="AD146" s="234"/>
      <c r="AE146" s="234"/>
      <c r="AF146" s="234"/>
      <c r="AH146" s="234">
        <f>'Form 2C.1 - Design'!AG169</f>
        <v>0</v>
      </c>
      <c r="AI146" s="234"/>
      <c r="AJ146" s="234"/>
      <c r="AK146" s="234"/>
      <c r="AM146" s="128">
        <f>IF(ISBLANK(AA98),1,2)</f>
        <v>1</v>
      </c>
    </row>
    <row r="147" spans="2:43" ht="14.55" customHeight="1" x14ac:dyDescent="0.3">
      <c r="C147" s="190">
        <f>Tables!$C$21</f>
        <v>9.93</v>
      </c>
      <c r="D147" s="190"/>
      <c r="G147" s="2" t="str">
        <f>Tables!$A$21</f>
        <v>(100-yr)</v>
      </c>
      <c r="I147" s="212">
        <f>'Form 2C.1 - Design'!M170</f>
        <v>0</v>
      </c>
      <c r="J147" s="212"/>
      <c r="K147" s="212"/>
      <c r="L147" s="212"/>
      <c r="N147" s="234">
        <f>'Form 2C.1 - Design'!Q170</f>
        <v>0</v>
      </c>
      <c r="O147" s="234"/>
      <c r="P147" s="234"/>
      <c r="Q147" s="234"/>
      <c r="S147" s="234">
        <f>'Form 2C.1 - Design'!U170</f>
        <v>0</v>
      </c>
      <c r="T147" s="234"/>
      <c r="U147" s="234"/>
      <c r="V147" s="234"/>
      <c r="X147" s="234">
        <f>'Form 2C.1 - Design'!Y170</f>
        <v>0</v>
      </c>
      <c r="Y147" s="234"/>
      <c r="Z147" s="234"/>
      <c r="AA147" s="234"/>
      <c r="AC147" s="234">
        <f>'Form 2C.1 - Design'!AC170</f>
        <v>0</v>
      </c>
      <c r="AD147" s="234"/>
      <c r="AE147" s="234"/>
      <c r="AF147" s="234"/>
      <c r="AH147" s="234">
        <f>'Form 2C.1 - Design'!AG170</f>
        <v>0</v>
      </c>
      <c r="AI147" s="234"/>
      <c r="AJ147" s="234"/>
      <c r="AK147" s="234"/>
      <c r="AM147" s="24" t="s">
        <v>162</v>
      </c>
      <c r="AN147" s="24" t="s">
        <v>163</v>
      </c>
      <c r="AO147" s="24" t="s">
        <v>80</v>
      </c>
      <c r="AP147" s="24" t="s">
        <v>327</v>
      </c>
      <c r="AQ147" s="24" t="s">
        <v>81</v>
      </c>
    </row>
    <row r="148" spans="2:43" ht="30" customHeight="1" x14ac:dyDescent="0.3">
      <c r="B148" s="1" t="s">
        <v>61</v>
      </c>
      <c r="I148" s="236" t="s">
        <v>136</v>
      </c>
      <c r="J148" s="236"/>
      <c r="K148" s="236"/>
      <c r="L148" s="236"/>
      <c r="M148" s="54"/>
      <c r="N148" s="236" t="s">
        <v>137</v>
      </c>
      <c r="O148" s="236"/>
      <c r="P148" s="236"/>
      <c r="Q148" s="236"/>
      <c r="S148" s="236" t="s">
        <v>138</v>
      </c>
      <c r="T148" s="236"/>
      <c r="U148" s="236"/>
      <c r="V148" s="236"/>
      <c r="X148" s="236" t="s">
        <v>67</v>
      </c>
      <c r="Y148" s="236"/>
      <c r="Z148" s="236"/>
      <c r="AA148" s="236"/>
      <c r="AC148" s="236" t="s">
        <v>297</v>
      </c>
      <c r="AD148" s="236"/>
      <c r="AE148" s="236"/>
      <c r="AF148" s="236"/>
      <c r="AH148" s="236" t="s">
        <v>139</v>
      </c>
      <c r="AI148" s="236"/>
      <c r="AJ148" s="236"/>
      <c r="AK148" s="236"/>
      <c r="AM148" s="128">
        <f>SUM(AM149:AM154)</f>
        <v>6</v>
      </c>
      <c r="AN148" s="128">
        <f>SUM(AN149:AN154)</f>
        <v>6</v>
      </c>
      <c r="AO148" s="128">
        <f>SUM(AO149:AO154)</f>
        <v>6</v>
      </c>
      <c r="AP148" s="128">
        <f>SUM(AP149:AP154)</f>
        <v>6</v>
      </c>
      <c r="AQ148" s="128">
        <f>SUM(AQ149:AQ154)</f>
        <v>6</v>
      </c>
    </row>
    <row r="149" spans="2:43" ht="14.55" customHeight="1" x14ac:dyDescent="0.3">
      <c r="C149" s="190">
        <f>Tables!$C$16</f>
        <v>4.21</v>
      </c>
      <c r="D149" s="190"/>
      <c r="G149" s="2" t="str">
        <f>Tables!$A$16</f>
        <v>(2-yr)</v>
      </c>
      <c r="I149" s="201"/>
      <c r="J149" s="201"/>
      <c r="K149" s="201"/>
      <c r="L149" s="201"/>
      <c r="N149" s="201"/>
      <c r="O149" s="201"/>
      <c r="P149" s="201"/>
      <c r="Q149" s="201"/>
      <c r="S149" s="201"/>
      <c r="T149" s="201"/>
      <c r="U149" s="201"/>
      <c r="V149" s="201"/>
      <c r="X149" s="201"/>
      <c r="Y149" s="201"/>
      <c r="Z149" s="201"/>
      <c r="AA149" s="201"/>
      <c r="AC149" s="201"/>
      <c r="AD149" s="201"/>
      <c r="AE149" s="201"/>
      <c r="AF149" s="201"/>
      <c r="AH149" s="201"/>
      <c r="AI149" s="201"/>
      <c r="AJ149" s="201"/>
      <c r="AK149" s="201"/>
      <c r="AM149" s="128">
        <f>IF(ISBLANK(I149),1,IF(I149=I142,0,1))</f>
        <v>1</v>
      </c>
      <c r="AN149" s="128">
        <f>IF(ISBLANK(N149),1,IF(N149=N142,0,1))</f>
        <v>1</v>
      </c>
      <c r="AO149" s="128">
        <f>IF(OR(ISBLANK(X149),ISBLANK(Y$102)),1,IF(X149&gt;Y$102,1,0))</f>
        <v>1</v>
      </c>
      <c r="AP149" s="128">
        <f>IF(ISBLANK(AC149),1,IF(AC149&gt;$AP$145,1,0))</f>
        <v>1</v>
      </c>
      <c r="AQ149" s="128">
        <f>IF(OR(ISBLANK(AH149),ISBLANK(I149)),1,IF(AH149&gt;I149,1,0))</f>
        <v>1</v>
      </c>
    </row>
    <row r="150" spans="2:43" ht="14.55" customHeight="1" x14ac:dyDescent="0.3">
      <c r="C150" s="190">
        <f>Tables!$C$17</f>
        <v>5.24</v>
      </c>
      <c r="D150" s="190"/>
      <c r="G150" s="2" t="str">
        <f>Tables!$A$17</f>
        <v>(5-yr)</v>
      </c>
      <c r="I150" s="191"/>
      <c r="J150" s="191"/>
      <c r="K150" s="191"/>
      <c r="L150" s="191"/>
      <c r="N150" s="191"/>
      <c r="O150" s="191"/>
      <c r="P150" s="191"/>
      <c r="Q150" s="191"/>
      <c r="S150" s="191"/>
      <c r="T150" s="191"/>
      <c r="U150" s="191"/>
      <c r="V150" s="191"/>
      <c r="X150" s="191"/>
      <c r="Y150" s="191"/>
      <c r="Z150" s="191"/>
      <c r="AA150" s="191"/>
      <c r="AC150" s="191"/>
      <c r="AD150" s="191"/>
      <c r="AE150" s="191"/>
      <c r="AF150" s="191"/>
      <c r="AH150" s="191"/>
      <c r="AI150" s="191"/>
      <c r="AJ150" s="191"/>
      <c r="AK150" s="191"/>
      <c r="AM150" s="128">
        <f t="shared" ref="AM150:AM154" si="4">IF(ISBLANK(I150),1,IF(I150=I143,0,1))</f>
        <v>1</v>
      </c>
      <c r="AN150" s="128">
        <f t="shared" ref="AN150:AN154" si="5">IF(ISBLANK(N150),1,IF(N150=N143,0,1))</f>
        <v>1</v>
      </c>
      <c r="AO150" s="128">
        <f t="shared" ref="AO150:AO154" si="6">IF(OR(ISBLANK(X150),ISBLANK(Y$102)),1,IF(X150&gt;Y$102,1,0))</f>
        <v>1</v>
      </c>
      <c r="AP150" s="128">
        <f t="shared" ref="AP150:AP153" si="7">IF(ISBLANK(AC150),1,IF(AC150&gt;$AP$145,1,0))</f>
        <v>1</v>
      </c>
      <c r="AQ150" s="128">
        <f>IF(OR(ISBLANK(AH150),ISBLANK(I150)),1,IF(AH150&gt;I150,1,0))</f>
        <v>1</v>
      </c>
    </row>
    <row r="151" spans="2:43" ht="14.55" customHeight="1" x14ac:dyDescent="0.3">
      <c r="C151" s="190">
        <f>Tables!$C$18</f>
        <v>6.17</v>
      </c>
      <c r="D151" s="190"/>
      <c r="G151" s="2" t="str">
        <f>Tables!$A$18</f>
        <v>(10-yr)</v>
      </c>
      <c r="I151" s="191"/>
      <c r="J151" s="191"/>
      <c r="K151" s="191"/>
      <c r="L151" s="191"/>
      <c r="N151" s="191"/>
      <c r="O151" s="191"/>
      <c r="P151" s="191"/>
      <c r="Q151" s="191"/>
      <c r="S151" s="191"/>
      <c r="T151" s="191"/>
      <c r="U151" s="191"/>
      <c r="V151" s="191"/>
      <c r="X151" s="191"/>
      <c r="Y151" s="191"/>
      <c r="Z151" s="191"/>
      <c r="AA151" s="191"/>
      <c r="AC151" s="191"/>
      <c r="AD151" s="191"/>
      <c r="AE151" s="191"/>
      <c r="AF151" s="191"/>
      <c r="AH151" s="191"/>
      <c r="AI151" s="191"/>
      <c r="AJ151" s="191"/>
      <c r="AK151" s="191"/>
      <c r="AM151" s="128">
        <f t="shared" si="4"/>
        <v>1</v>
      </c>
      <c r="AN151" s="128">
        <f t="shared" si="5"/>
        <v>1</v>
      </c>
      <c r="AO151" s="128">
        <f t="shared" si="6"/>
        <v>1</v>
      </c>
      <c r="AP151" s="128">
        <f t="shared" si="7"/>
        <v>1</v>
      </c>
      <c r="AQ151" s="128">
        <f t="shared" ref="AQ151:AQ154" si="8">IF(OR(ISBLANK(AH151),ISBLANK(I151)),1,IF(AH151&gt;I151,1,0))</f>
        <v>1</v>
      </c>
    </row>
    <row r="152" spans="2:43" ht="14.55" customHeight="1" x14ac:dyDescent="0.3">
      <c r="C152" s="190">
        <f>Tables!$C$19</f>
        <v>7.55</v>
      </c>
      <c r="D152" s="190"/>
      <c r="G152" s="2" t="str">
        <f>Tables!$A$19</f>
        <v>(25-yr)</v>
      </c>
      <c r="I152" s="191"/>
      <c r="J152" s="191"/>
      <c r="K152" s="191"/>
      <c r="L152" s="191"/>
      <c r="N152" s="191"/>
      <c r="O152" s="191"/>
      <c r="P152" s="191"/>
      <c r="Q152" s="191"/>
      <c r="S152" s="191"/>
      <c r="T152" s="191"/>
      <c r="U152" s="191"/>
      <c r="V152" s="191"/>
      <c r="X152" s="191"/>
      <c r="Y152" s="191"/>
      <c r="Z152" s="191"/>
      <c r="AA152" s="191"/>
      <c r="AC152" s="191"/>
      <c r="AD152" s="191"/>
      <c r="AE152" s="191"/>
      <c r="AF152" s="191"/>
      <c r="AH152" s="191"/>
      <c r="AI152" s="191"/>
      <c r="AJ152" s="191"/>
      <c r="AK152" s="191"/>
      <c r="AM152" s="128">
        <f t="shared" si="4"/>
        <v>1</v>
      </c>
      <c r="AN152" s="128">
        <f t="shared" si="5"/>
        <v>1</v>
      </c>
      <c r="AO152" s="128">
        <f t="shared" si="6"/>
        <v>1</v>
      </c>
      <c r="AP152" s="128">
        <f t="shared" si="7"/>
        <v>1</v>
      </c>
      <c r="AQ152" s="128">
        <f t="shared" si="8"/>
        <v>1</v>
      </c>
    </row>
    <row r="153" spans="2:43" ht="14.55" customHeight="1" x14ac:dyDescent="0.3">
      <c r="C153" s="190">
        <f>Tables!$C$20</f>
        <v>8.6999999999999993</v>
      </c>
      <c r="D153" s="190"/>
      <c r="G153" s="2" t="str">
        <f>Tables!$A$20</f>
        <v>(50-yr)</v>
      </c>
      <c r="I153" s="191"/>
      <c r="J153" s="191"/>
      <c r="K153" s="191"/>
      <c r="L153" s="191"/>
      <c r="N153" s="191"/>
      <c r="O153" s="191"/>
      <c r="P153" s="191"/>
      <c r="Q153" s="191"/>
      <c r="S153" s="191"/>
      <c r="T153" s="191"/>
      <c r="U153" s="191"/>
      <c r="V153" s="191"/>
      <c r="X153" s="191"/>
      <c r="Y153" s="191"/>
      <c r="Z153" s="191"/>
      <c r="AA153" s="191"/>
      <c r="AC153" s="191"/>
      <c r="AD153" s="191"/>
      <c r="AE153" s="191"/>
      <c r="AF153" s="191"/>
      <c r="AH153" s="191"/>
      <c r="AI153" s="191"/>
      <c r="AJ153" s="191"/>
      <c r="AK153" s="191"/>
      <c r="AM153" s="128">
        <f t="shared" si="4"/>
        <v>1</v>
      </c>
      <c r="AN153" s="128">
        <f t="shared" si="5"/>
        <v>1</v>
      </c>
      <c r="AO153" s="128">
        <f t="shared" si="6"/>
        <v>1</v>
      </c>
      <c r="AP153" s="128">
        <f t="shared" si="7"/>
        <v>1</v>
      </c>
      <c r="AQ153" s="128">
        <f t="shared" si="8"/>
        <v>1</v>
      </c>
    </row>
    <row r="154" spans="2:43" ht="14.55" customHeight="1" x14ac:dyDescent="0.3">
      <c r="C154" s="190">
        <f>Tables!$C$21</f>
        <v>9.93</v>
      </c>
      <c r="D154" s="190"/>
      <c r="G154" s="2" t="str">
        <f>Tables!$A$21</f>
        <v>(100-yr)</v>
      </c>
      <c r="I154" s="191"/>
      <c r="J154" s="191"/>
      <c r="K154" s="191"/>
      <c r="L154" s="191"/>
      <c r="N154" s="191"/>
      <c r="O154" s="191"/>
      <c r="P154" s="191"/>
      <c r="Q154" s="191"/>
      <c r="S154" s="191"/>
      <c r="T154" s="191"/>
      <c r="U154" s="191"/>
      <c r="V154" s="191"/>
      <c r="X154" s="191"/>
      <c r="Y154" s="191"/>
      <c r="Z154" s="191"/>
      <c r="AA154" s="191"/>
      <c r="AC154" s="191"/>
      <c r="AD154" s="191"/>
      <c r="AE154" s="191"/>
      <c r="AF154" s="191"/>
      <c r="AH154" s="191"/>
      <c r="AI154" s="191"/>
      <c r="AJ154" s="191"/>
      <c r="AK154" s="191"/>
      <c r="AM154" s="128">
        <f t="shared" si="4"/>
        <v>1</v>
      </c>
      <c r="AN154" s="128">
        <f t="shared" si="5"/>
        <v>1</v>
      </c>
      <c r="AO154" s="128">
        <f t="shared" si="6"/>
        <v>1</v>
      </c>
      <c r="AP154" s="128">
        <f>IF(ISBLANK(AC154),1,IF(AC154&gt;$AP$145,1,0))</f>
        <v>1</v>
      </c>
      <c r="AQ154" s="128">
        <f t="shared" si="8"/>
        <v>1</v>
      </c>
    </row>
    <row r="155" spans="2:43" ht="4.95" customHeight="1" x14ac:dyDescent="0.3"/>
    <row r="156" spans="2:43" ht="15" customHeight="1" x14ac:dyDescent="0.3">
      <c r="AK156" s="45"/>
    </row>
    <row r="157" spans="2:43" ht="15" customHeight="1" x14ac:dyDescent="0.3">
      <c r="B157" s="216">
        <f>Tables!$C$13</f>
        <v>45383</v>
      </c>
      <c r="C157" s="216"/>
      <c r="D157" s="216"/>
      <c r="E157" s="216"/>
      <c r="F157" s="216"/>
      <c r="G157" s="216"/>
      <c r="H157" s="216"/>
      <c r="R157" s="184" t="s">
        <v>409</v>
      </c>
      <c r="S157" s="184"/>
      <c r="T157" s="184"/>
      <c r="U157" s="184"/>
      <c r="AK157" s="45"/>
    </row>
    <row r="158" spans="2:43" ht="15" customHeight="1" x14ac:dyDescent="0.3">
      <c r="C158" s="2" t="s">
        <v>1</v>
      </c>
      <c r="D158" s="187">
        <f>IF(ISBLANK($E$15),"",$E$15)</f>
        <v>0</v>
      </c>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51"/>
      <c r="AB158" s="51"/>
      <c r="AC158" s="51"/>
      <c r="AF158" s="2" t="s">
        <v>21</v>
      </c>
      <c r="AG158" s="188">
        <f>$AF$15</f>
        <v>0</v>
      </c>
      <c r="AH158" s="188"/>
      <c r="AI158" s="188"/>
      <c r="AJ158" s="188"/>
      <c r="AK158" s="188"/>
    </row>
    <row r="159" spans="2:43" ht="15" customHeight="1" x14ac:dyDescent="0.3">
      <c r="H159" s="52"/>
      <c r="I159" s="52"/>
      <c r="J159" s="2"/>
      <c r="K159" s="2"/>
      <c r="L159" s="2"/>
      <c r="M159" s="52"/>
      <c r="N159" s="51"/>
      <c r="O159" s="51"/>
      <c r="P159" s="51"/>
      <c r="Q159" s="51"/>
      <c r="R159" s="51"/>
      <c r="S159" s="51"/>
      <c r="T159" s="51"/>
      <c r="U159" s="51"/>
      <c r="V159" s="51"/>
      <c r="W159" s="51"/>
      <c r="X159" s="51"/>
      <c r="Y159" s="51"/>
      <c r="Z159" s="51"/>
      <c r="AA159" s="51"/>
      <c r="AB159" s="51"/>
      <c r="AC159" s="51"/>
      <c r="AF159" s="2" t="s">
        <v>35</v>
      </c>
      <c r="AG159" s="189">
        <f>IF(ISBLANK($AF$16),"",$AF$16)</f>
        <v>0</v>
      </c>
      <c r="AH159" s="189"/>
      <c r="AI159" s="189"/>
      <c r="AJ159" s="189"/>
      <c r="AK159" s="189"/>
    </row>
    <row r="160" spans="2:43" ht="15" customHeight="1" x14ac:dyDescent="0.3">
      <c r="B160" s="5" t="s">
        <v>23</v>
      </c>
      <c r="C160" s="5"/>
      <c r="D160" s="5"/>
      <c r="E160" s="5"/>
      <c r="F160" s="5"/>
      <c r="G160" s="5"/>
    </row>
    <row r="161" spans="2:37" ht="15" customHeight="1" x14ac:dyDescent="0.3">
      <c r="B161" s="192"/>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4"/>
    </row>
    <row r="162" spans="2:37" ht="15" customHeight="1" x14ac:dyDescent="0.3">
      <c r="B162" s="195"/>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7"/>
    </row>
    <row r="163" spans="2:37" ht="15" customHeight="1" x14ac:dyDescent="0.3">
      <c r="B163" s="195"/>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7"/>
    </row>
    <row r="164" spans="2:37" ht="15" customHeight="1" x14ac:dyDescent="0.3">
      <c r="B164" s="195"/>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7"/>
    </row>
    <row r="165" spans="2:37" ht="15" customHeight="1" x14ac:dyDescent="0.3">
      <c r="B165" s="195"/>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7"/>
    </row>
    <row r="166" spans="2:37" ht="15" customHeight="1" x14ac:dyDescent="0.3">
      <c r="B166" s="195"/>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7"/>
    </row>
    <row r="167" spans="2:37" ht="15" customHeight="1" x14ac:dyDescent="0.3">
      <c r="B167" s="195"/>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7"/>
    </row>
    <row r="168" spans="2:37" ht="15" customHeight="1" x14ac:dyDescent="0.3">
      <c r="B168" s="198"/>
      <c r="C168" s="199"/>
      <c r="D168" s="199"/>
      <c r="E168" s="199"/>
      <c r="F168" s="199"/>
      <c r="G168" s="199"/>
      <c r="H168" s="199"/>
      <c r="I168" s="199"/>
      <c r="J168" s="199"/>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200"/>
    </row>
    <row r="169" spans="2:37" ht="4.95" customHeight="1" x14ac:dyDescent="0.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2:37" ht="15" customHeight="1" x14ac:dyDescent="0.3">
      <c r="B170" s="1" t="s">
        <v>144</v>
      </c>
      <c r="C170" s="1"/>
      <c r="D170" s="1"/>
      <c r="E170" s="1"/>
      <c r="F170" s="1"/>
      <c r="G170" s="1"/>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2:37" ht="15" customHeight="1" x14ac:dyDescent="0.3">
      <c r="C171" s="2"/>
      <c r="E171" s="2" t="s">
        <v>146</v>
      </c>
      <c r="F171" s="205"/>
      <c r="G171" s="205"/>
      <c r="H171" s="205"/>
      <c r="I171" s="205"/>
      <c r="J171" s="205"/>
      <c r="K171" s="205"/>
      <c r="L171" s="205"/>
      <c r="M171" s="205"/>
      <c r="N171" s="205"/>
      <c r="O171" s="205"/>
      <c r="P171" s="205"/>
      <c r="Q171" s="205"/>
      <c r="R171" s="205"/>
      <c r="S171" s="205"/>
      <c r="T171" s="205"/>
      <c r="U171" s="205"/>
      <c r="V171" s="205"/>
    </row>
    <row r="172" spans="2:37" ht="15" customHeight="1" x14ac:dyDescent="0.3">
      <c r="C172" s="2"/>
      <c r="E172" s="2" t="s">
        <v>147</v>
      </c>
      <c r="F172" s="207"/>
      <c r="G172" s="207"/>
      <c r="H172" s="207"/>
      <c r="I172" s="207"/>
      <c r="J172" s="207"/>
      <c r="K172" s="207"/>
      <c r="L172" s="207"/>
      <c r="M172" s="207"/>
      <c r="N172" s="207"/>
      <c r="O172" s="207"/>
      <c r="P172" s="207"/>
      <c r="Q172" s="207"/>
      <c r="R172" s="207"/>
      <c r="S172" s="207"/>
      <c r="T172" s="207"/>
      <c r="U172" s="207"/>
      <c r="V172" s="207"/>
      <c r="W172" s="4"/>
      <c r="X172" s="4"/>
      <c r="Y172" s="4"/>
      <c r="Z172" s="4"/>
      <c r="AA172" s="4"/>
      <c r="AB172" s="4"/>
      <c r="AC172" s="4"/>
      <c r="AD172" s="4"/>
      <c r="AE172" s="4"/>
      <c r="AF172" s="4"/>
      <c r="AG172" s="4"/>
      <c r="AH172" s="4"/>
      <c r="AI172" s="4"/>
      <c r="AJ172" s="4"/>
      <c r="AK172" s="4"/>
    </row>
    <row r="173" spans="2:37" ht="15" customHeight="1" x14ac:dyDescent="0.3">
      <c r="C173" s="2"/>
      <c r="E173" s="2" t="s">
        <v>431</v>
      </c>
      <c r="F173" s="207"/>
      <c r="G173" s="207"/>
      <c r="H173" s="207"/>
      <c r="I173" s="207"/>
      <c r="J173" s="207"/>
      <c r="K173" s="207"/>
      <c r="L173" s="207"/>
      <c r="M173" s="207"/>
      <c r="N173" s="207"/>
      <c r="O173" s="207"/>
      <c r="P173" s="207"/>
      <c r="Q173" s="207"/>
      <c r="R173" s="207"/>
      <c r="S173" s="207"/>
      <c r="T173" s="207"/>
      <c r="U173" s="207"/>
      <c r="V173" s="207"/>
      <c r="X173" s="2"/>
      <c r="Y173" s="2" t="s">
        <v>150</v>
      </c>
      <c r="Z173" s="206"/>
      <c r="AA173" s="206"/>
      <c r="AB173" s="206"/>
      <c r="AC173" s="206"/>
      <c r="AF173" s="2"/>
      <c r="AG173" s="2" t="s">
        <v>151</v>
      </c>
      <c r="AH173" s="206"/>
      <c r="AI173" s="206"/>
      <c r="AJ173" s="206"/>
      <c r="AK173" s="206"/>
    </row>
    <row r="174" spans="2:37" ht="15" customHeight="1" x14ac:dyDescent="0.3">
      <c r="C174" s="2"/>
      <c r="E174" s="2" t="s">
        <v>432</v>
      </c>
      <c r="F174" s="207"/>
      <c r="G174" s="207"/>
      <c r="H174" s="207"/>
      <c r="I174" s="207"/>
      <c r="J174" s="207"/>
      <c r="K174" s="207"/>
      <c r="L174" s="207"/>
      <c r="M174" s="207"/>
      <c r="N174" s="207"/>
      <c r="O174" s="207"/>
      <c r="P174" s="207"/>
      <c r="Q174" s="207"/>
      <c r="R174" s="207"/>
      <c r="S174" s="207"/>
      <c r="T174" s="207"/>
      <c r="U174" s="207"/>
      <c r="V174" s="207"/>
      <c r="X174" s="2"/>
      <c r="Y174" s="2"/>
      <c r="Z174" s="2"/>
      <c r="AA174" s="2"/>
      <c r="AB174" s="2"/>
      <c r="AC174" s="2"/>
      <c r="AD174" s="2"/>
      <c r="AE174" s="2"/>
      <c r="AF174" s="2"/>
      <c r="AG174" s="2"/>
      <c r="AH174" s="2"/>
      <c r="AI174" s="2"/>
      <c r="AJ174" s="2"/>
      <c r="AK174" s="2"/>
    </row>
    <row r="175" spans="2:37" ht="15" customHeight="1" x14ac:dyDescent="0.3">
      <c r="C175" s="2"/>
      <c r="E175" s="2" t="s">
        <v>148</v>
      </c>
      <c r="F175" s="249"/>
      <c r="G175" s="249"/>
      <c r="H175" s="249"/>
      <c r="I175" s="249"/>
      <c r="J175" s="249"/>
      <c r="K175" s="249"/>
      <c r="L175" s="249"/>
      <c r="M175" s="249"/>
      <c r="N175" s="249"/>
      <c r="O175" s="249"/>
      <c r="P175" s="249"/>
      <c r="Q175" s="249"/>
      <c r="R175" s="249"/>
      <c r="S175" s="249"/>
      <c r="T175" s="249"/>
      <c r="U175" s="249"/>
      <c r="V175" s="249"/>
      <c r="X175" s="13"/>
      <c r="Y175" s="13"/>
      <c r="Z175" s="13"/>
      <c r="AA175" s="13"/>
      <c r="AB175" s="13"/>
      <c r="AC175" s="13"/>
      <c r="AD175" s="2" t="s">
        <v>152</v>
      </c>
      <c r="AE175" s="226"/>
      <c r="AF175" s="226"/>
      <c r="AG175" s="226"/>
      <c r="AH175" s="226"/>
      <c r="AI175" s="226"/>
      <c r="AJ175" s="4"/>
      <c r="AK175" s="4"/>
    </row>
    <row r="176" spans="2:37" ht="4.95" customHeight="1" x14ac:dyDescent="0.3">
      <c r="B176" s="2"/>
      <c r="C176" s="2"/>
      <c r="D176" s="2"/>
      <c r="E176" s="2"/>
      <c r="F176" s="2"/>
      <c r="G176" s="2"/>
      <c r="H176" s="55"/>
      <c r="I176" s="55"/>
      <c r="J176" s="55"/>
      <c r="K176" s="55"/>
      <c r="L176" s="55"/>
      <c r="M176" s="55"/>
      <c r="N176" s="55"/>
      <c r="O176" s="55"/>
      <c r="P176" s="55"/>
      <c r="Q176" s="55"/>
      <c r="R176" s="55"/>
      <c r="S176" s="55"/>
      <c r="T176" s="55"/>
      <c r="U176" s="55"/>
      <c r="V176" s="55"/>
      <c r="X176" s="4"/>
      <c r="Y176" s="4"/>
      <c r="Z176" s="4"/>
      <c r="AA176" s="4"/>
      <c r="AB176" s="4"/>
      <c r="AC176" s="4"/>
      <c r="AD176" s="2"/>
      <c r="AE176" s="4"/>
      <c r="AF176" s="4"/>
      <c r="AG176" s="4"/>
      <c r="AH176" s="4"/>
      <c r="AI176" s="4"/>
      <c r="AJ176" s="4"/>
      <c r="AK176" s="4"/>
    </row>
    <row r="177" spans="2:39" ht="15" customHeight="1" x14ac:dyDescent="0.3">
      <c r="B177" s="1" t="s">
        <v>337</v>
      </c>
      <c r="C177" s="1"/>
      <c r="D177" s="1"/>
      <c r="E177" s="1"/>
      <c r="F177" s="1"/>
      <c r="G177" s="1"/>
      <c r="H177" s="4"/>
      <c r="I177" s="4"/>
      <c r="J177" s="4"/>
      <c r="K177" s="4"/>
      <c r="L177" s="4"/>
      <c r="M177" s="4"/>
      <c r="N177" s="4"/>
      <c r="O177" s="4"/>
      <c r="P177" s="4"/>
      <c r="Q177" s="4"/>
      <c r="R177" s="4"/>
      <c r="S177" s="4"/>
      <c r="T177" s="4"/>
      <c r="U177" s="4"/>
      <c r="V177" s="4"/>
      <c r="X177" s="4"/>
      <c r="Y177" s="77"/>
      <c r="Z177" s="40" t="s">
        <v>145</v>
      </c>
      <c r="AA177" s="4"/>
      <c r="AB177" s="4"/>
      <c r="AC177" s="4"/>
      <c r="AH177" s="4"/>
      <c r="AI177" s="4"/>
      <c r="AJ177" s="4"/>
      <c r="AK177" s="4"/>
      <c r="AM177" s="128">
        <f>IF(ISBLANK(Y177),1,2)</f>
        <v>1</v>
      </c>
    </row>
    <row r="178" spans="2:39" ht="15" customHeight="1" x14ac:dyDescent="0.3">
      <c r="C178" s="2"/>
      <c r="E178" s="2" t="s">
        <v>149</v>
      </c>
      <c r="F178" s="205"/>
      <c r="G178" s="205"/>
      <c r="H178" s="205"/>
      <c r="I178" s="205"/>
      <c r="J178" s="205"/>
      <c r="K178" s="205"/>
      <c r="L178" s="205"/>
      <c r="M178" s="205"/>
      <c r="N178" s="205"/>
      <c r="O178" s="205"/>
      <c r="P178" s="205"/>
      <c r="Q178" s="205"/>
      <c r="R178" s="205"/>
      <c r="S178" s="205"/>
      <c r="T178" s="205"/>
      <c r="U178" s="205"/>
      <c r="V178" s="205"/>
    </row>
    <row r="179" spans="2:39" ht="15" customHeight="1" x14ac:dyDescent="0.3">
      <c r="C179" s="2"/>
      <c r="E179" s="2" t="s">
        <v>147</v>
      </c>
      <c r="F179" s="207"/>
      <c r="G179" s="207"/>
      <c r="H179" s="207"/>
      <c r="I179" s="207"/>
      <c r="J179" s="207"/>
      <c r="K179" s="207"/>
      <c r="L179" s="207"/>
      <c r="M179" s="207"/>
      <c r="N179" s="207"/>
      <c r="O179" s="207"/>
      <c r="P179" s="207"/>
      <c r="Q179" s="207"/>
      <c r="R179" s="207"/>
      <c r="S179" s="207"/>
      <c r="T179" s="207"/>
      <c r="U179" s="207"/>
      <c r="V179" s="207"/>
      <c r="AE179" s="4"/>
      <c r="AF179" s="4"/>
      <c r="AG179" s="4"/>
      <c r="AH179" s="4"/>
      <c r="AI179" s="4"/>
      <c r="AJ179" s="4"/>
      <c r="AK179" s="4"/>
    </row>
    <row r="180" spans="2:39" ht="15" customHeight="1" x14ac:dyDescent="0.3">
      <c r="C180" s="2"/>
      <c r="E180" s="2" t="s">
        <v>372</v>
      </c>
      <c r="F180" s="207"/>
      <c r="G180" s="207"/>
      <c r="H180" s="207"/>
      <c r="I180" s="207"/>
      <c r="J180" s="207"/>
      <c r="K180" s="207"/>
      <c r="L180" s="207"/>
      <c r="M180" s="207"/>
      <c r="N180" s="207"/>
      <c r="O180" s="207"/>
      <c r="P180" s="207"/>
      <c r="Q180" s="207"/>
      <c r="R180" s="207"/>
      <c r="S180" s="207"/>
      <c r="T180" s="207"/>
      <c r="U180" s="207"/>
      <c r="V180" s="207"/>
      <c r="X180" s="2"/>
      <c r="Y180" s="2" t="s">
        <v>150</v>
      </c>
      <c r="Z180" s="206"/>
      <c r="AA180" s="206"/>
      <c r="AB180" s="206"/>
      <c r="AC180" s="206"/>
      <c r="AF180" s="2"/>
      <c r="AG180" s="2" t="s">
        <v>151</v>
      </c>
      <c r="AH180" s="206"/>
      <c r="AI180" s="206"/>
      <c r="AJ180" s="206"/>
      <c r="AK180" s="206"/>
    </row>
    <row r="181" spans="2:39" ht="15" customHeight="1" x14ac:dyDescent="0.3">
      <c r="C181" s="2"/>
      <c r="E181" s="2" t="s">
        <v>432</v>
      </c>
      <c r="F181" s="205"/>
      <c r="G181" s="205"/>
      <c r="H181" s="205"/>
      <c r="I181" s="205"/>
      <c r="J181" s="205"/>
      <c r="K181" s="205"/>
      <c r="L181" s="205"/>
      <c r="M181" s="205"/>
      <c r="N181" s="205"/>
      <c r="O181" s="205"/>
      <c r="P181" s="205"/>
      <c r="Q181" s="205"/>
      <c r="R181" s="205"/>
      <c r="S181" s="205"/>
      <c r="T181" s="205"/>
      <c r="U181" s="205"/>
      <c r="V181" s="205"/>
      <c r="W181" s="4"/>
      <c r="X181" s="4"/>
      <c r="Y181" s="4"/>
      <c r="Z181" s="4"/>
      <c r="AA181" s="4"/>
      <c r="AB181" s="4"/>
      <c r="AC181" s="4"/>
      <c r="AD181" s="2" t="s">
        <v>153</v>
      </c>
      <c r="AE181" s="205"/>
      <c r="AF181" s="205"/>
      <c r="AG181" s="205"/>
      <c r="AH181" s="205"/>
      <c r="AI181" s="205"/>
      <c r="AJ181" s="205"/>
      <c r="AK181" s="205"/>
    </row>
    <row r="182" spans="2:39" ht="15" customHeight="1" x14ac:dyDescent="0.3">
      <c r="C182" s="2"/>
      <c r="E182" s="2" t="s">
        <v>148</v>
      </c>
      <c r="F182" s="249"/>
      <c r="G182" s="249"/>
      <c r="H182" s="249"/>
      <c r="I182" s="249"/>
      <c r="J182" s="249"/>
      <c r="K182" s="249"/>
      <c r="L182" s="249"/>
      <c r="M182" s="249"/>
      <c r="N182" s="249"/>
      <c r="O182" s="249"/>
      <c r="P182" s="249"/>
      <c r="Q182" s="249"/>
      <c r="R182" s="249"/>
      <c r="S182" s="249"/>
      <c r="T182" s="249"/>
      <c r="U182" s="249"/>
      <c r="V182" s="249"/>
      <c r="AD182" s="2" t="s">
        <v>152</v>
      </c>
      <c r="AE182" s="252"/>
      <c r="AF182" s="252"/>
      <c r="AG182" s="252"/>
      <c r="AH182" s="252"/>
      <c r="AI182" s="252"/>
    </row>
    <row r="183" spans="2:39" ht="15" customHeight="1" x14ac:dyDescent="0.3">
      <c r="C183" s="2"/>
    </row>
    <row r="184" spans="2:39" ht="15" customHeight="1" x14ac:dyDescent="0.3">
      <c r="B184" s="1" t="s">
        <v>19</v>
      </c>
      <c r="C184" s="1"/>
      <c r="D184" s="1"/>
      <c r="E184" s="1"/>
      <c r="F184" s="1"/>
      <c r="G184" s="1"/>
      <c r="H184" s="1"/>
      <c r="I184" s="1"/>
    </row>
    <row r="185" spans="2:39" ht="15" customHeight="1" x14ac:dyDescent="0.3">
      <c r="B185" s="251" t="s">
        <v>328</v>
      </c>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251"/>
      <c r="AF185" s="251"/>
      <c r="AG185" s="251"/>
      <c r="AH185" s="251"/>
      <c r="AI185" s="251"/>
      <c r="AJ185" s="251"/>
      <c r="AK185" s="251"/>
    </row>
    <row r="186" spans="2:39" ht="15" customHeight="1" x14ac:dyDescent="0.3">
      <c r="B186" s="251"/>
      <c r="C186" s="251"/>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row>
    <row r="187" spans="2:39" ht="15" customHeight="1" x14ac:dyDescent="0.3">
      <c r="B187" s="251"/>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row>
    <row r="188" spans="2:39" ht="15" customHeight="1" x14ac:dyDescent="0.3">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row>
    <row r="189" spans="2:39" ht="15" customHeight="1" x14ac:dyDescent="0.3">
      <c r="D189" s="2" t="s">
        <v>206</v>
      </c>
      <c r="E189" s="205"/>
      <c r="F189" s="205"/>
      <c r="G189" s="205"/>
      <c r="H189" s="205"/>
      <c r="I189" s="205"/>
      <c r="J189" s="205"/>
      <c r="K189" s="205"/>
      <c r="L189" s="205"/>
      <c r="M189" s="205"/>
      <c r="N189" s="205"/>
      <c r="O189" s="205"/>
      <c r="P189" s="205"/>
      <c r="Q189" s="205"/>
      <c r="R189" s="205"/>
      <c r="S189" s="205"/>
      <c r="T189" s="205"/>
      <c r="U189" s="205"/>
      <c r="V189" s="205"/>
      <c r="W189" s="205"/>
      <c r="X189" s="205"/>
      <c r="Y189" s="205"/>
      <c r="AB189" s="2" t="s">
        <v>433</v>
      </c>
      <c r="AC189" s="2"/>
      <c r="AD189" s="2"/>
      <c r="AE189" s="2"/>
    </row>
    <row r="190" spans="2:39" ht="15" customHeight="1" x14ac:dyDescent="0.3">
      <c r="D190" s="2" t="s">
        <v>146</v>
      </c>
      <c r="E190" s="207"/>
      <c r="F190" s="207"/>
      <c r="G190" s="207"/>
      <c r="H190" s="207"/>
      <c r="I190" s="207"/>
      <c r="J190" s="207"/>
      <c r="K190" s="207"/>
      <c r="L190" s="207"/>
      <c r="M190" s="207"/>
      <c r="N190" s="207"/>
      <c r="O190" s="207"/>
      <c r="P190" s="207"/>
      <c r="Q190" s="207"/>
      <c r="R190" s="207"/>
      <c r="S190" s="207"/>
      <c r="T190" s="207"/>
      <c r="U190" s="207"/>
      <c r="V190" s="207"/>
      <c r="W190" s="207"/>
      <c r="X190" s="207"/>
      <c r="Y190" s="207"/>
    </row>
    <row r="191" spans="2:39" ht="15" customHeight="1" x14ac:dyDescent="0.3">
      <c r="D191" s="2" t="s">
        <v>147</v>
      </c>
      <c r="E191" s="207"/>
      <c r="F191" s="207"/>
      <c r="G191" s="207"/>
      <c r="H191" s="207"/>
      <c r="I191" s="207"/>
      <c r="J191" s="207"/>
      <c r="K191" s="207"/>
      <c r="L191" s="207"/>
      <c r="M191" s="207"/>
      <c r="N191" s="207"/>
      <c r="O191" s="207"/>
      <c r="P191" s="207"/>
      <c r="Q191" s="207"/>
      <c r="R191" s="207"/>
      <c r="S191" s="207"/>
      <c r="T191" s="207"/>
      <c r="U191" s="207"/>
      <c r="V191" s="207"/>
      <c r="W191" s="207"/>
      <c r="X191" s="207"/>
      <c r="Y191" s="207"/>
    </row>
    <row r="192" spans="2:39" ht="15" customHeight="1" x14ac:dyDescent="0.3">
      <c r="D192" s="2" t="s">
        <v>431</v>
      </c>
      <c r="E192" s="207"/>
      <c r="F192" s="207"/>
      <c r="G192" s="207"/>
      <c r="H192" s="207"/>
      <c r="I192" s="207"/>
      <c r="J192" s="207"/>
      <c r="K192" s="207"/>
      <c r="L192" s="85"/>
      <c r="M192" s="85"/>
      <c r="N192" s="139" t="s">
        <v>150</v>
      </c>
      <c r="O192" s="207"/>
      <c r="P192" s="207"/>
      <c r="Q192" s="207"/>
      <c r="R192" s="207"/>
      <c r="S192" s="85"/>
      <c r="T192" s="85"/>
      <c r="U192" s="85"/>
      <c r="V192" s="139" t="s">
        <v>151</v>
      </c>
      <c r="W192" s="209"/>
      <c r="X192" s="209"/>
      <c r="Y192" s="209"/>
    </row>
    <row r="193" spans="2:40" ht="15" customHeight="1" x14ac:dyDescent="0.3">
      <c r="D193" s="2" t="s">
        <v>148</v>
      </c>
      <c r="E193" s="217"/>
      <c r="F193" s="217"/>
      <c r="G193" s="217"/>
      <c r="H193" s="217"/>
      <c r="I193" s="217"/>
      <c r="J193" s="217"/>
      <c r="K193" s="217"/>
      <c r="L193" s="217"/>
      <c r="M193" s="217"/>
      <c r="N193" s="217"/>
      <c r="O193" s="217"/>
      <c r="P193" s="217"/>
      <c r="Q193" s="217"/>
      <c r="R193" s="217"/>
      <c r="S193" s="217"/>
      <c r="T193" s="217"/>
      <c r="U193" s="217"/>
      <c r="V193" s="217"/>
      <c r="W193" s="217"/>
      <c r="X193" s="217"/>
      <c r="Y193" s="217"/>
    </row>
    <row r="194" spans="2:40" ht="15" customHeight="1" x14ac:dyDescent="0.3">
      <c r="D194" s="2" t="s">
        <v>152</v>
      </c>
      <c r="E194" s="186"/>
      <c r="F194" s="186"/>
      <c r="G194" s="186"/>
      <c r="H194" s="186"/>
      <c r="I194" s="186"/>
      <c r="U194" s="74"/>
      <c r="V194" s="74"/>
      <c r="W194" s="74"/>
    </row>
    <row r="195" spans="2:40" ht="15" customHeight="1" x14ac:dyDescent="0.3">
      <c r="D195" s="2"/>
      <c r="E195" s="85"/>
      <c r="F195" s="85"/>
      <c r="G195" s="85"/>
      <c r="H195" s="85"/>
      <c r="I195" s="85"/>
      <c r="U195" s="74"/>
      <c r="V195" s="74"/>
      <c r="W195" s="74"/>
    </row>
    <row r="196" spans="2:40" ht="15" customHeight="1" x14ac:dyDescent="0.3">
      <c r="D196" s="2" t="s">
        <v>207</v>
      </c>
      <c r="E196" s="111"/>
      <c r="F196" s="111"/>
      <c r="G196" s="111"/>
      <c r="H196" s="111"/>
      <c r="I196" s="111"/>
      <c r="J196" s="111"/>
      <c r="K196" s="111"/>
      <c r="L196" s="111"/>
      <c r="M196" s="111"/>
      <c r="N196" s="111"/>
      <c r="O196" s="111"/>
      <c r="P196" s="111"/>
      <c r="Q196" s="111"/>
      <c r="R196" s="111"/>
      <c r="S196" s="111"/>
      <c r="T196" s="111"/>
      <c r="U196" s="74"/>
      <c r="V196" s="74"/>
      <c r="W196" s="74"/>
      <c r="AB196" s="2" t="s">
        <v>192</v>
      </c>
      <c r="AC196" s="208"/>
      <c r="AD196" s="208"/>
      <c r="AE196" s="208"/>
      <c r="AF196" s="208"/>
      <c r="AG196" s="208"/>
    </row>
    <row r="197" spans="2:40" ht="15" customHeight="1" x14ac:dyDescent="0.3"/>
    <row r="198" spans="2:40" ht="15" customHeight="1" x14ac:dyDescent="0.3"/>
    <row r="199" spans="2:40" ht="15" customHeight="1" x14ac:dyDescent="0.3"/>
    <row r="200" spans="2:40" ht="15" customHeight="1" x14ac:dyDescent="0.3"/>
    <row r="201" spans="2:40" ht="15" customHeight="1" x14ac:dyDescent="0.3">
      <c r="AK201" s="45"/>
    </row>
    <row r="202" spans="2:40" ht="15" customHeight="1" x14ac:dyDescent="0.3">
      <c r="B202" s="216">
        <f>Tables!$C$13</f>
        <v>45383</v>
      </c>
      <c r="C202" s="216"/>
      <c r="D202" s="216"/>
      <c r="E202" s="216"/>
      <c r="F202" s="216"/>
      <c r="G202" s="216"/>
      <c r="H202" s="216"/>
      <c r="R202" s="184" t="s">
        <v>408</v>
      </c>
      <c r="S202" s="184"/>
      <c r="T202" s="184"/>
      <c r="U202" s="184"/>
      <c r="AK202" s="45"/>
    </row>
    <row r="203" spans="2:40" ht="15" customHeight="1" x14ac:dyDescent="0.3">
      <c r="B203" s="121"/>
      <c r="C203" s="121"/>
      <c r="D203" s="121"/>
      <c r="E203" s="121"/>
      <c r="F203" s="121"/>
      <c r="G203" s="121"/>
      <c r="H203" s="121"/>
      <c r="R203" s="4"/>
      <c r="S203" s="4"/>
      <c r="T203" s="4"/>
      <c r="U203" s="4"/>
      <c r="AK203" s="45"/>
    </row>
    <row r="204" spans="2:40" ht="15" customHeight="1" x14ac:dyDescent="0.3">
      <c r="C204" s="2" t="s">
        <v>1</v>
      </c>
      <c r="D204" s="187">
        <f>IF(ISBLANK($E$15),"",$E$15)</f>
        <v>0</v>
      </c>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51"/>
      <c r="AB204" s="51"/>
      <c r="AC204" s="51"/>
      <c r="AF204" s="2" t="s">
        <v>21</v>
      </c>
      <c r="AG204" s="188">
        <f>$AF$15</f>
        <v>0</v>
      </c>
      <c r="AH204" s="188"/>
      <c r="AI204" s="188"/>
      <c r="AJ204" s="188"/>
      <c r="AK204" s="188"/>
    </row>
    <row r="205" spans="2:40" ht="15" customHeight="1" x14ac:dyDescent="0.3">
      <c r="H205" s="52"/>
      <c r="I205" s="52"/>
      <c r="J205" s="2"/>
      <c r="K205" s="2"/>
      <c r="L205" s="2"/>
      <c r="M205" s="52"/>
      <c r="N205" s="51"/>
      <c r="O205" s="51"/>
      <c r="P205" s="51"/>
      <c r="Q205" s="51"/>
      <c r="R205" s="51"/>
      <c r="S205" s="51"/>
      <c r="T205" s="51"/>
      <c r="U205" s="51"/>
      <c r="V205" s="51"/>
      <c r="W205" s="51"/>
      <c r="X205" s="51"/>
      <c r="Y205" s="51"/>
      <c r="Z205" s="51"/>
      <c r="AA205" s="51"/>
      <c r="AB205" s="51"/>
      <c r="AC205" s="51"/>
      <c r="AF205" s="2" t="s">
        <v>35</v>
      </c>
      <c r="AG205" s="189">
        <f>IF(ISBLANK($AF$16),"",$AF$16)</f>
        <v>0</v>
      </c>
      <c r="AH205" s="189"/>
      <c r="AI205" s="189"/>
      <c r="AJ205" s="189"/>
      <c r="AK205" s="189"/>
    </row>
    <row r="206" spans="2:40" ht="15" customHeight="1" x14ac:dyDescent="0.3">
      <c r="B206" s="1" t="s">
        <v>104</v>
      </c>
      <c r="F206" s="52"/>
      <c r="G206" s="52"/>
      <c r="H206" s="52"/>
      <c r="I206" s="52"/>
      <c r="J206" s="52"/>
      <c r="K206" s="2"/>
      <c r="L206" s="2"/>
      <c r="M206" s="2"/>
      <c r="N206" s="2"/>
      <c r="O206" s="52"/>
      <c r="P206" s="51"/>
      <c r="Q206" s="51"/>
      <c r="R206" s="51"/>
      <c r="S206" s="51"/>
      <c r="T206" s="51"/>
      <c r="U206" s="51"/>
      <c r="V206" s="51"/>
      <c r="W206" s="51"/>
      <c r="X206" s="51"/>
      <c r="Y206" s="51"/>
      <c r="Z206" s="51"/>
      <c r="AA206" s="51"/>
      <c r="AB206" s="51"/>
      <c r="AC206" s="51"/>
      <c r="AD206" s="51"/>
      <c r="AE206" s="51"/>
      <c r="AF206" s="51"/>
      <c r="AG206" s="51"/>
      <c r="AH206" s="51"/>
      <c r="AI206" s="51"/>
      <c r="AJ206" s="51"/>
      <c r="AK206" s="51"/>
    </row>
    <row r="207" spans="2:40" ht="15" customHeight="1" x14ac:dyDescent="0.3">
      <c r="D207" s="40" t="s">
        <v>175</v>
      </c>
      <c r="F207" s="40" t="s">
        <v>155</v>
      </c>
      <c r="X207" s="40" t="s">
        <v>412</v>
      </c>
      <c r="AC207" s="40" t="s">
        <v>413</v>
      </c>
      <c r="AM207" s="24"/>
      <c r="AN207" s="24"/>
    </row>
    <row r="208" spans="2:40" ht="4.95" customHeight="1" x14ac:dyDescent="0.3">
      <c r="AM208" s="24"/>
      <c r="AN208" s="24"/>
    </row>
    <row r="209" spans="3:41" ht="15" customHeight="1" x14ac:dyDescent="0.3">
      <c r="D209" s="77"/>
      <c r="F209" s="77"/>
      <c r="H209" s="40" t="s">
        <v>472</v>
      </c>
      <c r="AM209" s="128">
        <f>IF(AND(ISBLANK(D209),ISBLANK(F209)),1,2)</f>
        <v>1</v>
      </c>
      <c r="AN209" s="128">
        <f>IF(ISBLANK(F209),1,2)</f>
        <v>1</v>
      </c>
      <c r="AO209" s="128">
        <f>IF(ISBLANK(D209),1,2)</f>
        <v>1</v>
      </c>
    </row>
    <row r="210" spans="3:41" ht="4.95" customHeight="1" x14ac:dyDescent="0.3">
      <c r="AM210" s="24"/>
      <c r="AN210" s="24"/>
    </row>
    <row r="211" spans="3:41" ht="15" customHeight="1" x14ac:dyDescent="0.3">
      <c r="D211" s="77"/>
      <c r="F211" s="77"/>
      <c r="H211" s="40" t="s">
        <v>414</v>
      </c>
      <c r="Y211" s="206"/>
      <c r="Z211" s="206"/>
      <c r="AC211" s="261"/>
      <c r="AD211" s="261"/>
      <c r="AE211" s="261"/>
      <c r="AF211" s="261"/>
      <c r="AG211" s="261"/>
      <c r="AH211" s="261"/>
      <c r="AI211" s="261"/>
      <c r="AM211" s="128">
        <f>IF(AND(ISBLANK(D211),ISBLANK(F211)),1,2)</f>
        <v>1</v>
      </c>
      <c r="AN211" s="128">
        <f>IF(ISBLANK(F211),1,2)</f>
        <v>1</v>
      </c>
      <c r="AO211" s="128">
        <f>IF(ISBLANK(D211),1,2)</f>
        <v>1</v>
      </c>
    </row>
    <row r="212" spans="3:41" ht="4.95" customHeight="1" x14ac:dyDescent="0.3">
      <c r="AM212" s="24"/>
      <c r="AN212" s="24"/>
    </row>
    <row r="213" spans="3:41" ht="15" customHeight="1" x14ac:dyDescent="0.3">
      <c r="D213" s="77"/>
      <c r="F213" s="77"/>
      <c r="H213" s="40" t="s">
        <v>467</v>
      </c>
      <c r="Y213" s="206"/>
      <c r="Z213" s="206"/>
      <c r="AC213" s="261"/>
      <c r="AD213" s="261"/>
      <c r="AE213" s="261"/>
      <c r="AF213" s="261"/>
      <c r="AG213" s="261"/>
      <c r="AH213" s="261"/>
      <c r="AI213" s="261"/>
      <c r="AM213" s="128">
        <f>IF(AND(ISBLANK(D213),ISBLANK(F213)),1,2)</f>
        <v>1</v>
      </c>
      <c r="AN213" s="128">
        <f>IF(ISBLANK(F213),1,2)</f>
        <v>1</v>
      </c>
      <c r="AO213" s="128">
        <f>IF(ISBLANK(D213),1,2)</f>
        <v>1</v>
      </c>
    </row>
    <row r="214" spans="3:41" ht="4.95" customHeight="1" x14ac:dyDescent="0.3">
      <c r="AM214" s="24"/>
      <c r="AN214" s="24"/>
    </row>
    <row r="215" spans="3:41" ht="15" customHeight="1" x14ac:dyDescent="0.3">
      <c r="D215" s="77"/>
      <c r="F215" s="77"/>
      <c r="H215" s="40" t="s">
        <v>468</v>
      </c>
      <c r="Y215" s="206"/>
      <c r="Z215" s="206"/>
      <c r="AC215" s="261"/>
      <c r="AD215" s="261"/>
      <c r="AE215" s="261"/>
      <c r="AF215" s="261"/>
      <c r="AG215" s="261"/>
      <c r="AH215" s="261"/>
      <c r="AI215" s="261"/>
      <c r="AM215" s="128">
        <f>IF(AND(ISBLANK(D215),ISBLANK(F215)),1,2)</f>
        <v>1</v>
      </c>
      <c r="AN215" s="128">
        <f>IF(ISBLANK(F215),1,2)</f>
        <v>1</v>
      </c>
      <c r="AO215" s="128">
        <f>IF(ISBLANK(D215),1,2)</f>
        <v>1</v>
      </c>
    </row>
    <row r="216" spans="3:41" ht="4.95" customHeight="1" x14ac:dyDescent="0.3">
      <c r="AM216" s="24"/>
      <c r="AN216" s="24"/>
    </row>
    <row r="217" spans="3:41" ht="15" customHeight="1" x14ac:dyDescent="0.3">
      <c r="D217" s="77"/>
      <c r="F217" s="77"/>
      <c r="H217" s="40" t="s">
        <v>469</v>
      </c>
      <c r="Y217" s="206"/>
      <c r="Z217" s="206"/>
      <c r="AC217" s="261"/>
      <c r="AD217" s="261"/>
      <c r="AE217" s="261"/>
      <c r="AF217" s="261"/>
      <c r="AG217" s="261"/>
      <c r="AH217" s="261"/>
      <c r="AI217" s="261"/>
      <c r="AM217" s="128">
        <f>IF(AND(ISBLANK(D217),ISBLANK(F217)),1,2)</f>
        <v>1</v>
      </c>
      <c r="AN217" s="128">
        <f>IF(ISBLANK(F217),1,2)</f>
        <v>1</v>
      </c>
      <c r="AO217" s="128">
        <f>IF(ISBLANK(D217),1,2)</f>
        <v>1</v>
      </c>
    </row>
    <row r="218" spans="3:41" ht="4.95" customHeight="1" x14ac:dyDescent="0.3">
      <c r="C218" s="52"/>
      <c r="D218" s="52"/>
      <c r="E218" s="52"/>
      <c r="F218" s="2"/>
      <c r="G218" s="2"/>
      <c r="J218" s="52"/>
      <c r="K218" s="51"/>
      <c r="L218" s="51"/>
      <c r="M218" s="51"/>
      <c r="N218" s="51"/>
      <c r="O218" s="51"/>
      <c r="X218" s="51"/>
      <c r="Y218" s="51"/>
      <c r="Z218" s="51"/>
      <c r="AA218" s="51"/>
      <c r="AB218" s="51"/>
      <c r="AC218" s="51"/>
      <c r="AD218" s="51"/>
      <c r="AE218" s="51"/>
      <c r="AF218" s="51"/>
      <c r="AG218" s="51"/>
      <c r="AH218" s="51"/>
      <c r="AI218" s="51"/>
      <c r="AJ218" s="51"/>
      <c r="AK218" s="51"/>
    </row>
    <row r="219" spans="3:41" ht="15" customHeight="1" x14ac:dyDescent="0.3">
      <c r="C219" s="52"/>
      <c r="D219" s="77"/>
      <c r="F219" s="77"/>
      <c r="H219" s="40" t="s">
        <v>473</v>
      </c>
      <c r="Y219" s="206"/>
      <c r="Z219" s="206"/>
      <c r="AC219" s="261"/>
      <c r="AD219" s="261"/>
      <c r="AE219" s="261"/>
      <c r="AF219" s="261"/>
      <c r="AG219" s="261"/>
      <c r="AH219" s="261"/>
      <c r="AI219" s="261"/>
      <c r="AM219" s="128">
        <f>IF(AND(ISBLANK(D219),ISBLANK(F219)),1,2)</f>
        <v>1</v>
      </c>
      <c r="AN219" s="128">
        <f>IF(ISBLANK(F219),1,2)</f>
        <v>1</v>
      </c>
      <c r="AO219" s="128">
        <f>IF(ISBLANK(D219),1,2)</f>
        <v>1</v>
      </c>
    </row>
    <row r="220" spans="3:41" ht="4.95" customHeight="1" x14ac:dyDescent="0.3">
      <c r="I220" s="52"/>
      <c r="J220" s="2"/>
      <c r="K220" s="2"/>
      <c r="L220" s="2"/>
      <c r="M220" s="52"/>
      <c r="N220" s="51"/>
      <c r="O220" s="51"/>
      <c r="X220" s="51"/>
      <c r="Y220" s="51"/>
      <c r="Z220" s="51"/>
      <c r="AA220" s="51"/>
      <c r="AB220" s="51"/>
      <c r="AC220" s="51"/>
      <c r="AD220" s="51"/>
      <c r="AE220" s="51"/>
      <c r="AF220" s="51"/>
      <c r="AG220" s="51"/>
      <c r="AH220" s="51"/>
      <c r="AI220" s="51"/>
    </row>
    <row r="221" spans="3:41" ht="15" customHeight="1" x14ac:dyDescent="0.3">
      <c r="D221" s="77"/>
      <c r="F221" s="77"/>
      <c r="H221" s="40" t="s">
        <v>470</v>
      </c>
      <c r="Y221" s="206"/>
      <c r="Z221" s="206"/>
      <c r="AC221" s="261"/>
      <c r="AD221" s="261"/>
      <c r="AE221" s="261"/>
      <c r="AF221" s="261"/>
      <c r="AG221" s="261"/>
      <c r="AH221" s="261"/>
      <c r="AI221" s="261"/>
      <c r="AM221" s="128">
        <f>IF(AND(ISBLANK(D221),ISBLANK(F221)),1,2)</f>
        <v>1</v>
      </c>
      <c r="AN221" s="128">
        <f>IF(ISBLANK(F221),1,2)</f>
        <v>1</v>
      </c>
      <c r="AO221" s="128">
        <f>IF(ISBLANK(D221),1,2)</f>
        <v>1</v>
      </c>
    </row>
    <row r="222" spans="3:41" ht="4.95" customHeight="1" x14ac:dyDescent="0.3">
      <c r="I222" s="52"/>
      <c r="J222" s="2"/>
      <c r="K222" s="2"/>
      <c r="L222" s="2"/>
      <c r="M222" s="52"/>
      <c r="N222" s="51"/>
      <c r="O222" s="51"/>
      <c r="P222" s="51"/>
      <c r="Q222" s="51"/>
      <c r="R222" s="51"/>
      <c r="S222" s="51"/>
      <c r="T222" s="51"/>
      <c r="U222" s="51"/>
      <c r="V222" s="51"/>
      <c r="W222" s="51"/>
      <c r="X222" s="51"/>
      <c r="Y222" s="51"/>
      <c r="Z222" s="51"/>
      <c r="AA222" s="51"/>
      <c r="AB222" s="51"/>
      <c r="AC222" s="51"/>
    </row>
    <row r="223" spans="3:41" ht="15" customHeight="1" x14ac:dyDescent="0.3">
      <c r="D223" s="77"/>
      <c r="F223" s="77"/>
      <c r="H223" s="40" t="s">
        <v>471</v>
      </c>
      <c r="I223" s="52"/>
      <c r="J223" s="2"/>
      <c r="K223" s="2"/>
      <c r="L223" s="2"/>
      <c r="M223" s="52"/>
      <c r="N223" s="51"/>
      <c r="O223" s="51"/>
      <c r="P223" s="51"/>
      <c r="Q223" s="51"/>
      <c r="R223" s="51"/>
      <c r="S223" s="51"/>
      <c r="T223" s="51"/>
      <c r="U223" s="51"/>
      <c r="V223" s="51"/>
      <c r="W223" s="51"/>
      <c r="X223" s="51"/>
      <c r="Y223" s="206"/>
      <c r="Z223" s="206"/>
      <c r="AC223" s="261"/>
      <c r="AD223" s="261"/>
      <c r="AE223" s="261"/>
      <c r="AF223" s="261"/>
      <c r="AG223" s="261"/>
      <c r="AH223" s="261"/>
      <c r="AI223" s="261"/>
      <c r="AM223" s="128">
        <f>IF(AND(ISBLANK(D223),ISBLANK(F223)),1,2)</f>
        <v>1</v>
      </c>
      <c r="AN223" s="128">
        <f>IF(ISBLANK(F223),1,2)</f>
        <v>1</v>
      </c>
      <c r="AO223" s="128">
        <f>IF(ISBLANK(D223),1,2)</f>
        <v>1</v>
      </c>
    </row>
    <row r="224" spans="3:41" ht="15" customHeight="1" x14ac:dyDescent="0.3">
      <c r="H224" s="52"/>
      <c r="I224" s="52"/>
      <c r="J224" s="2"/>
      <c r="K224" s="2"/>
      <c r="L224" s="2"/>
      <c r="M224" s="52"/>
      <c r="N224" s="51"/>
      <c r="O224" s="51"/>
      <c r="P224" s="51"/>
      <c r="Q224" s="51"/>
      <c r="R224" s="51"/>
      <c r="S224" s="51"/>
      <c r="T224" s="51"/>
      <c r="U224" s="51"/>
      <c r="V224" s="51"/>
      <c r="W224" s="51"/>
      <c r="X224" s="51"/>
      <c r="Y224" s="51"/>
      <c r="Z224" s="51"/>
      <c r="AA224" s="51"/>
      <c r="AB224" s="51"/>
      <c r="AC224" s="51"/>
    </row>
    <row r="225" spans="1:39" ht="15" customHeight="1" x14ac:dyDescent="0.3"/>
    <row r="226" spans="1:39" ht="15" customHeight="1" x14ac:dyDescent="0.3">
      <c r="A226" s="56" t="s">
        <v>91</v>
      </c>
      <c r="B226" s="78"/>
      <c r="C226" s="78"/>
      <c r="D226" s="78"/>
      <c r="E226" s="78"/>
      <c r="F226" s="78"/>
      <c r="G226" s="78"/>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8"/>
      <c r="AM226" s="15" t="s">
        <v>373</v>
      </c>
    </row>
    <row r="227" spans="1:39" ht="15" customHeight="1" x14ac:dyDescent="0.3">
      <c r="A227" s="59"/>
      <c r="B227" s="8"/>
      <c r="C227" s="8"/>
      <c r="D227" s="8"/>
      <c r="E227" s="8"/>
      <c r="F227" s="8"/>
      <c r="G227" s="8"/>
      <c r="H227" s="8"/>
      <c r="I227" s="8"/>
      <c r="J227" s="60" t="s">
        <v>92</v>
      </c>
      <c r="K227" s="60"/>
      <c r="L227" s="61" t="s">
        <v>222</v>
      </c>
      <c r="M227" s="60"/>
      <c r="N227" s="60"/>
      <c r="O227" s="61"/>
      <c r="P227" s="61"/>
      <c r="Q227" s="8"/>
      <c r="R227" s="8"/>
      <c r="S227" s="8"/>
      <c r="T227" s="8"/>
      <c r="U227" s="8"/>
      <c r="V227" s="8"/>
      <c r="W227" s="8"/>
      <c r="X227" s="8"/>
      <c r="Y227" s="8"/>
      <c r="Z227" s="8"/>
      <c r="AA227" s="8"/>
      <c r="AB227" s="8"/>
      <c r="AC227" s="8"/>
      <c r="AD227" s="8"/>
      <c r="AE227" s="8"/>
      <c r="AF227" s="8"/>
      <c r="AG227" s="8"/>
      <c r="AH227" s="8"/>
      <c r="AI227" s="8"/>
      <c r="AJ227" s="8"/>
      <c r="AK227" s="8"/>
      <c r="AL227" s="62"/>
      <c r="AM227" s="128">
        <f>SUM(AM229:AM238)</f>
        <v>8</v>
      </c>
    </row>
    <row r="228" spans="1:39" ht="15" customHeight="1" x14ac:dyDescent="0.3">
      <c r="A228" s="59"/>
      <c r="B228" s="8"/>
      <c r="C228" s="8"/>
      <c r="D228" s="8"/>
      <c r="E228" s="8"/>
      <c r="F228" s="8"/>
      <c r="G228" s="8"/>
      <c r="H228" s="8"/>
      <c r="I228" s="8"/>
      <c r="J228" s="9" t="str">
        <f>IF(Tables!C25=0,"",Tables!C25&amp;":")</f>
        <v/>
      </c>
      <c r="K228" s="60"/>
      <c r="L228" s="8" t="str">
        <f>IF(ISBLANK(AF14),Tables!G12,"")</f>
        <v>0 has not been provided</v>
      </c>
      <c r="M228" s="60"/>
      <c r="N228" s="60"/>
      <c r="O228" s="61"/>
      <c r="P228" s="61"/>
      <c r="Q228" s="8"/>
      <c r="R228" s="8"/>
      <c r="S228" s="8"/>
      <c r="T228" s="8"/>
      <c r="U228" s="8"/>
      <c r="V228" s="8"/>
      <c r="W228" s="8"/>
      <c r="X228" s="8"/>
      <c r="Y228" s="8"/>
      <c r="Z228" s="8"/>
      <c r="AA228" s="8"/>
      <c r="AB228" s="8"/>
      <c r="AC228" s="8"/>
      <c r="AD228" s="8"/>
      <c r="AE228" s="8"/>
      <c r="AF228" s="8"/>
      <c r="AG228" s="8"/>
      <c r="AH228" s="8"/>
      <c r="AI228" s="8"/>
      <c r="AJ228" s="8"/>
      <c r="AK228" s="8"/>
      <c r="AL228" s="62"/>
      <c r="AM228" s="128"/>
    </row>
    <row r="229" spans="1:39" ht="15" customHeight="1" x14ac:dyDescent="0.3">
      <c r="A229" s="59"/>
      <c r="B229" s="8"/>
      <c r="C229" s="8"/>
      <c r="D229" s="8"/>
      <c r="E229" s="8"/>
      <c r="F229" s="8"/>
      <c r="G229" s="8"/>
      <c r="H229" s="8"/>
      <c r="I229" s="8"/>
      <c r="J229" s="9" t="s">
        <v>95</v>
      </c>
      <c r="K229" s="9"/>
      <c r="L229" s="8" t="str">
        <f>IF(AND(ISBLANK(AA98),ISBLANK(AE98)),Tables!G4,IF(AP98=1,"",IF(AN98&lt;6,Tables!G4,"")))</f>
        <v>Emergency Spillway Section not completed</v>
      </c>
      <c r="M229" s="9"/>
      <c r="N229" s="9"/>
      <c r="O229" s="8"/>
      <c r="P229" s="8"/>
      <c r="Q229" s="8"/>
      <c r="R229" s="8"/>
      <c r="S229" s="8"/>
      <c r="T229" s="8"/>
      <c r="U229" s="8"/>
      <c r="V229" s="8"/>
      <c r="W229" s="8"/>
      <c r="X229" s="8"/>
      <c r="Y229" s="8"/>
      <c r="Z229" s="8"/>
      <c r="AA229" s="8"/>
      <c r="AB229" s="8"/>
      <c r="AC229" s="8"/>
      <c r="AD229" s="8"/>
      <c r="AE229" s="8"/>
      <c r="AF229" s="8"/>
      <c r="AG229" s="8"/>
      <c r="AH229" s="8"/>
      <c r="AI229" s="8"/>
      <c r="AJ229" s="8"/>
      <c r="AK229" s="8"/>
      <c r="AL229" s="62"/>
      <c r="AM229" s="128">
        <f>IF(L229="",0,1)</f>
        <v>1</v>
      </c>
    </row>
    <row r="230" spans="1:39" ht="15" customHeight="1" x14ac:dyDescent="0.3">
      <c r="A230" s="59"/>
      <c r="B230" s="8"/>
      <c r="C230" s="8"/>
      <c r="D230" s="8"/>
      <c r="E230" s="8"/>
      <c r="F230" s="8"/>
      <c r="G230" s="8"/>
      <c r="H230" s="8"/>
      <c r="I230" s="8"/>
      <c r="J230" s="9" t="s">
        <v>383</v>
      </c>
      <c r="K230" s="9"/>
      <c r="L230" s="8" t="str">
        <f>IF(AND(ISBLANK(AA98),ISBLANK(AE98)),Tables!G13,IF(AM146=1,"",IF(AO154&lt;1,Tables!G13,"")))</f>
        <v>Freeboard  &lt;  1.0 ft</v>
      </c>
      <c r="M230" s="9"/>
      <c r="N230" s="9"/>
      <c r="O230" s="8"/>
      <c r="P230" s="8"/>
      <c r="Q230" s="8"/>
      <c r="R230" s="8"/>
      <c r="S230" s="8"/>
      <c r="T230" s="8"/>
      <c r="U230" s="8"/>
      <c r="V230" s="8"/>
      <c r="W230" s="8"/>
      <c r="X230" s="8"/>
      <c r="Y230" s="8"/>
      <c r="Z230" s="8"/>
      <c r="AA230" s="8"/>
      <c r="AB230" s="8"/>
      <c r="AC230" s="8"/>
      <c r="AD230" s="8"/>
      <c r="AE230" s="8"/>
      <c r="AF230" s="8"/>
      <c r="AG230" s="8"/>
      <c r="AH230" s="8"/>
      <c r="AI230" s="8"/>
      <c r="AJ230" s="8"/>
      <c r="AK230" s="8"/>
      <c r="AL230" s="62"/>
      <c r="AM230" s="128"/>
    </row>
    <row r="231" spans="1:39" ht="15" customHeight="1" x14ac:dyDescent="0.3">
      <c r="A231" s="59"/>
      <c r="B231" s="8"/>
      <c r="C231" s="8"/>
      <c r="D231" s="8"/>
      <c r="E231" s="8"/>
      <c r="F231" s="8"/>
      <c r="G231" s="8"/>
      <c r="H231" s="8"/>
      <c r="I231" s="8"/>
      <c r="J231" s="9" t="s">
        <v>117</v>
      </c>
      <c r="K231" s="9"/>
      <c r="L231" s="8" t="str">
        <f>IF(AP106&lt;2,Tables!G8,"")</f>
        <v>Latitude and/or Longitude not provided</v>
      </c>
      <c r="M231" s="9"/>
      <c r="N231" s="9"/>
      <c r="O231" s="8"/>
      <c r="P231" s="8"/>
      <c r="Q231" s="8"/>
      <c r="R231" s="8"/>
      <c r="S231" s="8"/>
      <c r="T231" s="8"/>
      <c r="U231" s="8"/>
      <c r="V231" s="8"/>
      <c r="W231" s="8"/>
      <c r="X231" s="8"/>
      <c r="Y231" s="8"/>
      <c r="Z231" s="8"/>
      <c r="AA231" s="8"/>
      <c r="AB231" s="8"/>
      <c r="AC231" s="8"/>
      <c r="AD231" s="8"/>
      <c r="AE231" s="8"/>
      <c r="AF231" s="8"/>
      <c r="AG231" s="8"/>
      <c r="AH231" s="8"/>
      <c r="AI231" s="8"/>
      <c r="AJ231" s="8"/>
      <c r="AK231" s="8"/>
      <c r="AL231" s="62"/>
      <c r="AM231" s="128">
        <f t="shared" ref="AM231:AM238" si="9">IF(L231="",0,1)</f>
        <v>1</v>
      </c>
    </row>
    <row r="232" spans="1:39" ht="15" customHeight="1" x14ac:dyDescent="0.3">
      <c r="A232" s="59"/>
      <c r="B232" s="8"/>
      <c r="C232" s="8"/>
      <c r="D232" s="8"/>
      <c r="E232" s="8"/>
      <c r="F232" s="8"/>
      <c r="G232" s="8"/>
      <c r="H232" s="8"/>
      <c r="I232" s="8"/>
      <c r="J232" s="9" t="s">
        <v>159</v>
      </c>
      <c r="K232" s="9"/>
      <c r="L232" s="8" t="str">
        <f>IF(AN110=2,Tables!G9,IF(AN109=1,"",Tables!G9))</f>
        <v>WQv Required &gt; WQv Provided</v>
      </c>
      <c r="M232" s="9"/>
      <c r="N232" s="9"/>
      <c r="O232" s="8"/>
      <c r="P232" s="8"/>
      <c r="Q232" s="8"/>
      <c r="R232" s="8"/>
      <c r="S232" s="8"/>
      <c r="T232" s="8"/>
      <c r="U232" s="8"/>
      <c r="V232" s="8"/>
      <c r="W232" s="8"/>
      <c r="X232" s="8"/>
      <c r="Y232" s="8"/>
      <c r="Z232" s="8"/>
      <c r="AA232" s="8"/>
      <c r="AB232" s="8"/>
      <c r="AC232" s="8"/>
      <c r="AD232" s="8"/>
      <c r="AE232" s="8"/>
      <c r="AF232" s="8"/>
      <c r="AG232" s="8"/>
      <c r="AH232" s="8"/>
      <c r="AI232" s="8"/>
      <c r="AJ232" s="8"/>
      <c r="AK232" s="8"/>
      <c r="AL232" s="62"/>
      <c r="AM232" s="128">
        <f t="shared" si="9"/>
        <v>1</v>
      </c>
    </row>
    <row r="233" spans="1:39" ht="15" customHeight="1" x14ac:dyDescent="0.3">
      <c r="A233" s="59"/>
      <c r="B233" s="8"/>
      <c r="C233" s="8"/>
      <c r="D233" s="8"/>
      <c r="E233" s="8"/>
      <c r="F233" s="8"/>
      <c r="G233" s="8"/>
      <c r="H233" s="8"/>
      <c r="I233" s="8"/>
      <c r="J233" s="134" t="s">
        <v>281</v>
      </c>
      <c r="K233" s="9"/>
      <c r="L233" s="8"/>
      <c r="M233" s="9"/>
      <c r="N233" s="9"/>
      <c r="O233" s="8"/>
      <c r="P233" s="8"/>
      <c r="Q233" s="8"/>
      <c r="R233" s="8"/>
      <c r="S233" s="8"/>
      <c r="T233" s="8"/>
      <c r="U233" s="8"/>
      <c r="V233" s="8"/>
      <c r="W233" s="8"/>
      <c r="X233" s="8"/>
      <c r="Y233" s="8"/>
      <c r="Z233" s="8"/>
      <c r="AA233" s="8"/>
      <c r="AB233" s="8"/>
      <c r="AC233" s="8"/>
      <c r="AD233" s="8"/>
      <c r="AE233" s="8"/>
      <c r="AF233" s="8"/>
      <c r="AG233" s="8"/>
      <c r="AH233" s="8"/>
      <c r="AI233" s="8"/>
      <c r="AJ233" s="8"/>
      <c r="AK233" s="8"/>
      <c r="AL233" s="62"/>
      <c r="AM233" s="128">
        <f t="shared" si="9"/>
        <v>0</v>
      </c>
    </row>
    <row r="234" spans="1:39" ht="15" customHeight="1" x14ac:dyDescent="0.3">
      <c r="A234" s="59"/>
      <c r="B234" s="8"/>
      <c r="C234" s="8"/>
      <c r="D234" s="8"/>
      <c r="E234" s="8"/>
      <c r="F234" s="8"/>
      <c r="G234" s="8"/>
      <c r="H234" s="8"/>
      <c r="I234" s="8"/>
      <c r="J234" s="9" t="s">
        <v>165</v>
      </c>
      <c r="K234" s="9"/>
      <c r="L234" s="8" t="str">
        <f>IF(AM148&gt;0,Tables!G10,"")</f>
        <v>As-Built does not match Design</v>
      </c>
      <c r="M234" s="9"/>
      <c r="N234" s="9"/>
      <c r="O234" s="8"/>
      <c r="P234" s="8"/>
      <c r="Q234" s="8"/>
      <c r="R234" s="8"/>
      <c r="S234" s="8"/>
      <c r="T234" s="8"/>
      <c r="U234" s="8"/>
      <c r="V234" s="8"/>
      <c r="W234" s="8"/>
      <c r="X234" s="8"/>
      <c r="Y234" s="8"/>
      <c r="Z234" s="8"/>
      <c r="AA234" s="8"/>
      <c r="AB234" s="8"/>
      <c r="AC234" s="8"/>
      <c r="AD234" s="8"/>
      <c r="AE234" s="8"/>
      <c r="AF234" s="8"/>
      <c r="AG234" s="8"/>
      <c r="AH234" s="8"/>
      <c r="AI234" s="8"/>
      <c r="AJ234" s="8"/>
      <c r="AK234" s="8"/>
      <c r="AL234" s="62"/>
      <c r="AM234" s="128">
        <f t="shared" si="9"/>
        <v>1</v>
      </c>
    </row>
    <row r="235" spans="1:39" ht="15" customHeight="1" x14ac:dyDescent="0.3">
      <c r="A235" s="59"/>
      <c r="B235" s="8"/>
      <c r="C235" s="8"/>
      <c r="D235" s="8"/>
      <c r="E235" s="8"/>
      <c r="F235" s="8"/>
      <c r="G235" s="8"/>
      <c r="H235" s="8"/>
      <c r="I235" s="8"/>
      <c r="J235" s="9" t="s">
        <v>166</v>
      </c>
      <c r="K235" s="9"/>
      <c r="L235" s="8" t="str">
        <f>IF(AN148&gt;0,Tables!G10,"")</f>
        <v>As-Built does not match Design</v>
      </c>
      <c r="M235" s="9"/>
      <c r="N235" s="9"/>
      <c r="O235" s="8"/>
      <c r="P235" s="8"/>
      <c r="Q235" s="8"/>
      <c r="R235" s="8"/>
      <c r="S235" s="8"/>
      <c r="T235" s="8"/>
      <c r="U235" s="8"/>
      <c r="V235" s="8"/>
      <c r="W235" s="8"/>
      <c r="X235" s="8"/>
      <c r="Y235" s="8"/>
      <c r="Z235" s="8"/>
      <c r="AA235" s="8"/>
      <c r="AB235" s="8"/>
      <c r="AC235" s="8"/>
      <c r="AD235" s="8"/>
      <c r="AE235" s="8"/>
      <c r="AF235" s="8"/>
      <c r="AG235" s="8"/>
      <c r="AH235" s="8"/>
      <c r="AI235" s="8"/>
      <c r="AJ235" s="8"/>
      <c r="AK235" s="8"/>
      <c r="AL235" s="62"/>
      <c r="AM235" s="128">
        <f t="shared" si="9"/>
        <v>1</v>
      </c>
    </row>
    <row r="236" spans="1:39" ht="15" customHeight="1" x14ac:dyDescent="0.3">
      <c r="A236" s="59"/>
      <c r="B236" s="8"/>
      <c r="C236" s="8"/>
      <c r="D236" s="8"/>
      <c r="E236" s="8"/>
      <c r="F236" s="8"/>
      <c r="G236" s="8"/>
      <c r="H236" s="8"/>
      <c r="I236" s="8"/>
      <c r="J236" s="9" t="s">
        <v>90</v>
      </c>
      <c r="K236" s="9"/>
      <c r="L236" s="8" t="str">
        <f>IF(AND(ISBLANK(AA98),ISBLANK(AE98)),Tables!G7,IF(AM146=1,"",IF(AO148&gt;0,Tables!G7,"")))</f>
        <v>Max Stage for 2, 5, 10, and/or 25-year storm  &gt; Emergency Spillway Crest Elevation</v>
      </c>
      <c r="M236" s="9"/>
      <c r="N236" s="9"/>
      <c r="O236" s="8"/>
      <c r="P236" s="8"/>
      <c r="Q236" s="8"/>
      <c r="R236" s="8"/>
      <c r="S236" s="8"/>
      <c r="T236" s="8"/>
      <c r="U236" s="8"/>
      <c r="V236" s="8"/>
      <c r="W236" s="8"/>
      <c r="X236" s="8"/>
      <c r="Y236" s="8"/>
      <c r="Z236" s="8"/>
      <c r="AA236" s="8"/>
      <c r="AB236" s="8"/>
      <c r="AC236" s="8"/>
      <c r="AD236" s="8"/>
      <c r="AE236" s="8"/>
      <c r="AF236" s="8"/>
      <c r="AG236" s="8"/>
      <c r="AH236" s="8"/>
      <c r="AI236" s="8"/>
      <c r="AJ236" s="8"/>
      <c r="AK236" s="8"/>
      <c r="AL236" s="62"/>
      <c r="AM236" s="128">
        <f t="shared" si="9"/>
        <v>1</v>
      </c>
    </row>
    <row r="237" spans="1:39" ht="15" customHeight="1" x14ac:dyDescent="0.3">
      <c r="A237" s="59"/>
      <c r="B237" s="8"/>
      <c r="C237" s="8"/>
      <c r="D237" s="8"/>
      <c r="E237" s="8"/>
      <c r="F237" s="8"/>
      <c r="G237" s="8"/>
      <c r="H237" s="8"/>
      <c r="I237" s="8"/>
      <c r="J237" s="9" t="s">
        <v>298</v>
      </c>
      <c r="K237" s="9"/>
      <c r="L237" s="8" t="str">
        <f>IF(AP148&gt;0,Tables!G6,"")</f>
        <v>Velocity &gt; 6 ft/s</v>
      </c>
      <c r="M237" s="9"/>
      <c r="N237" s="9"/>
      <c r="O237" s="8"/>
      <c r="P237" s="8"/>
      <c r="Q237" s="8"/>
      <c r="R237" s="8"/>
      <c r="S237" s="8"/>
      <c r="T237" s="8"/>
      <c r="U237" s="8"/>
      <c r="V237" s="8"/>
      <c r="W237" s="8"/>
      <c r="X237" s="8"/>
      <c r="Y237" s="8"/>
      <c r="Z237" s="8"/>
      <c r="AA237" s="8"/>
      <c r="AB237" s="8"/>
      <c r="AC237" s="8"/>
      <c r="AD237" s="8"/>
      <c r="AE237" s="8"/>
      <c r="AF237" s="8"/>
      <c r="AG237" s="8"/>
      <c r="AH237" s="8"/>
      <c r="AI237" s="8"/>
      <c r="AJ237" s="8"/>
      <c r="AK237" s="8"/>
      <c r="AL237" s="62"/>
      <c r="AM237" s="128">
        <f t="shared" si="9"/>
        <v>1</v>
      </c>
    </row>
    <row r="238" spans="1:39" ht="15" customHeight="1" x14ac:dyDescent="0.3">
      <c r="A238" s="63"/>
      <c r="B238" s="64"/>
      <c r="C238" s="64"/>
      <c r="D238" s="64"/>
      <c r="E238" s="64"/>
      <c r="F238" s="64"/>
      <c r="G238" s="64"/>
      <c r="H238" s="64"/>
      <c r="I238" s="64"/>
      <c r="J238" s="65" t="s">
        <v>97</v>
      </c>
      <c r="K238" s="65"/>
      <c r="L238" s="64" t="str">
        <f>IF(AQ148&gt;0,Tables!G5,"")</f>
        <v>Total Post Q &gt; Pre Q</v>
      </c>
      <c r="M238" s="65"/>
      <c r="N238" s="65"/>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6"/>
      <c r="AM238" s="128">
        <f t="shared" si="9"/>
        <v>1</v>
      </c>
    </row>
    <row r="239" spans="1:39" ht="15" customHeight="1" x14ac:dyDescent="0.3">
      <c r="AM239" s="24"/>
    </row>
    <row r="240" spans="1:39" ht="15" customHeight="1" x14ac:dyDescent="0.3"/>
    <row r="241" spans="2:37" ht="15" customHeight="1" x14ac:dyDescent="0.3"/>
    <row r="242" spans="2:37" ht="15" customHeight="1" x14ac:dyDescent="0.3"/>
    <row r="243" spans="2:37" ht="15" customHeight="1" x14ac:dyDescent="0.3"/>
    <row r="244" spans="2:37" ht="15" customHeight="1" x14ac:dyDescent="0.3"/>
    <row r="245" spans="2:37" ht="15" customHeight="1" x14ac:dyDescent="0.3"/>
    <row r="246" spans="2:37" ht="15" customHeight="1" x14ac:dyDescent="0.3"/>
    <row r="247" spans="2:37" ht="15" customHeight="1" x14ac:dyDescent="0.3"/>
    <row r="248" spans="2:37" ht="15" customHeight="1" x14ac:dyDescent="0.3"/>
    <row r="249" spans="2:37" ht="15" customHeight="1" x14ac:dyDescent="0.3"/>
    <row r="250" spans="2:37" ht="15" customHeight="1" x14ac:dyDescent="0.3"/>
    <row r="251" spans="2:37" ht="15" customHeight="1" x14ac:dyDescent="0.3">
      <c r="AK251" s="45"/>
    </row>
    <row r="252" spans="2:37" ht="15" customHeight="1" x14ac:dyDescent="0.3">
      <c r="B252" s="216">
        <f>Tables!$C$13</f>
        <v>45383</v>
      </c>
      <c r="C252" s="216"/>
      <c r="D252" s="216"/>
      <c r="E252" s="216"/>
      <c r="F252" s="216"/>
      <c r="G252" s="216"/>
      <c r="H252" s="216"/>
      <c r="R252" s="184" t="s">
        <v>407</v>
      </c>
      <c r="S252" s="184"/>
      <c r="T252" s="184"/>
      <c r="U252" s="184"/>
      <c r="AK252" s="45"/>
    </row>
    <row r="253" spans="2:37" ht="15" customHeight="1" x14ac:dyDescent="0.3"/>
    <row r="254" spans="2:37" ht="15" customHeight="1" x14ac:dyDescent="0.3"/>
    <row r="255" spans="2:37" ht="15" customHeight="1" x14ac:dyDescent="0.3"/>
    <row r="256" spans="2:37" ht="15" customHeight="1" x14ac:dyDescent="0.3"/>
    <row r="257" ht="15" hidden="1" customHeight="1" x14ac:dyDescent="0.3"/>
    <row r="258" ht="15" hidden="1" customHeight="1" x14ac:dyDescent="0.3"/>
    <row r="259" ht="15" hidden="1" customHeight="1" x14ac:dyDescent="0.3"/>
    <row r="260" ht="15" hidden="1" customHeight="1" x14ac:dyDescent="0.3"/>
    <row r="261" ht="15" hidden="1" customHeight="1" x14ac:dyDescent="0.3"/>
    <row r="262" ht="15" hidden="1" customHeight="1" x14ac:dyDescent="0.3"/>
    <row r="263" ht="15" hidden="1" customHeight="1" x14ac:dyDescent="0.3"/>
    <row r="264" ht="15" hidden="1" customHeight="1" x14ac:dyDescent="0.3"/>
    <row r="265" ht="15" hidden="1" customHeight="1" x14ac:dyDescent="0.3"/>
    <row r="266" ht="15" hidden="1" customHeight="1" x14ac:dyDescent="0.3"/>
    <row r="267" ht="15" hidden="1" customHeight="1" x14ac:dyDescent="0.3"/>
    <row r="268" ht="15" hidden="1" customHeight="1" x14ac:dyDescent="0.3"/>
    <row r="269" ht="15" hidden="1" customHeight="1" x14ac:dyDescent="0.3"/>
    <row r="270" ht="15" hidden="1" customHeight="1" x14ac:dyDescent="0.3"/>
    <row r="271" ht="15" hidden="1" customHeight="1" x14ac:dyDescent="0.3"/>
    <row r="272" ht="15" hidden="1" customHeight="1" x14ac:dyDescent="0.3"/>
    <row r="273" ht="15" hidden="1" customHeight="1" x14ac:dyDescent="0.3"/>
    <row r="274" ht="15" hidden="1" customHeight="1" x14ac:dyDescent="0.3"/>
    <row r="275" ht="15" hidden="1" customHeight="1" x14ac:dyDescent="0.3"/>
    <row r="276" ht="15" hidden="1" customHeight="1" x14ac:dyDescent="0.3"/>
    <row r="277" ht="15" hidden="1" customHeight="1" x14ac:dyDescent="0.3"/>
    <row r="278" ht="15" hidden="1" customHeight="1" x14ac:dyDescent="0.3"/>
    <row r="279" ht="15" hidden="1" customHeight="1" x14ac:dyDescent="0.3"/>
    <row r="280" ht="15" hidden="1" customHeight="1" x14ac:dyDescent="0.3"/>
    <row r="281" ht="15" hidden="1" customHeight="1" x14ac:dyDescent="0.3"/>
    <row r="282" ht="15" hidden="1" customHeight="1" x14ac:dyDescent="0.3"/>
    <row r="283" ht="15" hidden="1" customHeight="1" x14ac:dyDescent="0.3"/>
    <row r="284" ht="15" hidden="1" customHeight="1" x14ac:dyDescent="0.3"/>
    <row r="285" ht="15" hidden="1" customHeight="1" x14ac:dyDescent="0.3"/>
    <row r="286" ht="15" hidden="1" customHeight="1" x14ac:dyDescent="0.3"/>
    <row r="287" ht="15" hidden="1" customHeight="1" x14ac:dyDescent="0.3"/>
    <row r="288" ht="15" hidden="1" customHeight="1" x14ac:dyDescent="0.3"/>
    <row r="289" ht="15" hidden="1" customHeight="1" x14ac:dyDescent="0.3"/>
    <row r="290" ht="15" hidden="1" customHeight="1" x14ac:dyDescent="0.3"/>
    <row r="291" ht="15" hidden="1" customHeight="1" x14ac:dyDescent="0.3"/>
    <row r="292" ht="15" hidden="1" customHeight="1" x14ac:dyDescent="0.3"/>
    <row r="293" ht="15" hidden="1" customHeight="1" x14ac:dyDescent="0.3"/>
    <row r="294" ht="15" hidden="1" customHeight="1" x14ac:dyDescent="0.3"/>
    <row r="295" ht="15" hidden="1" customHeight="1" x14ac:dyDescent="0.3"/>
    <row r="296" ht="15" hidden="1" customHeight="1" x14ac:dyDescent="0.3"/>
    <row r="297" ht="15" hidden="1" customHeight="1" x14ac:dyDescent="0.3"/>
    <row r="298" ht="15" hidden="1" customHeight="1" x14ac:dyDescent="0.3"/>
    <row r="299" ht="15" hidden="1" customHeight="1" x14ac:dyDescent="0.3"/>
    <row r="300" ht="15" hidden="1" customHeight="1" x14ac:dyDescent="0.3"/>
    <row r="301" ht="15" hidden="1" customHeight="1" x14ac:dyDescent="0.3"/>
    <row r="302" ht="15" hidden="1" customHeight="1" x14ac:dyDescent="0.3"/>
    <row r="303" ht="15" hidden="1" customHeight="1" x14ac:dyDescent="0.3"/>
    <row r="304" ht="15" hidden="1" customHeight="1" x14ac:dyDescent="0.3"/>
    <row r="305" ht="15" hidden="1" customHeight="1" x14ac:dyDescent="0.3"/>
    <row r="306" ht="15" hidden="1" customHeight="1" x14ac:dyDescent="0.3"/>
    <row r="307" ht="15" hidden="1" customHeight="1" x14ac:dyDescent="0.3"/>
    <row r="308" ht="15" hidden="1" customHeight="1" x14ac:dyDescent="0.3"/>
    <row r="309" ht="15" hidden="1" customHeight="1" x14ac:dyDescent="0.3"/>
    <row r="310" ht="15" hidden="1" customHeight="1" x14ac:dyDescent="0.3"/>
    <row r="311" ht="15" hidden="1" customHeight="1" x14ac:dyDescent="0.3"/>
    <row r="312" ht="15" hidden="1" customHeight="1" x14ac:dyDescent="0.3"/>
    <row r="313" ht="15" hidden="1" customHeight="1" x14ac:dyDescent="0.3"/>
    <row r="314" ht="15" hidden="1" customHeight="1" x14ac:dyDescent="0.3"/>
    <row r="315" ht="15" hidden="1" customHeight="1" x14ac:dyDescent="0.3"/>
    <row r="316" ht="15" hidden="1" customHeight="1" x14ac:dyDescent="0.3"/>
    <row r="317" ht="15" hidden="1" customHeight="1" x14ac:dyDescent="0.3"/>
  </sheetData>
  <sheetProtection algorithmName="SHA-512" hashValue="JXkrbJd2LPUoS3KgZBTneVagiIsXYgPdPIXLco34g0EzVkO0kaMUhcaCNKo9UHIbtD5ywePYt4SL2QcvkWH2hw==" saltValue="MaGUvur3WWi8Q7chVR+y/A==" spinCount="100000" sheet="1" objects="1" scenarios="1" selectLockedCells="1"/>
  <mergeCells count="520">
    <mergeCell ref="AD65:AF65"/>
    <mergeCell ref="AD66:AF66"/>
    <mergeCell ref="AD67:AF67"/>
    <mergeCell ref="AI65:AJ65"/>
    <mergeCell ref="AI66:AJ66"/>
    <mergeCell ref="AI67:AJ67"/>
    <mergeCell ref="B63:H63"/>
    <mergeCell ref="V63:AB63"/>
    <mergeCell ref="AD63:AK63"/>
    <mergeCell ref="AD64:AF64"/>
    <mergeCell ref="B65:D65"/>
    <mergeCell ref="B66:D66"/>
    <mergeCell ref="B67:D67"/>
    <mergeCell ref="F65:G65"/>
    <mergeCell ref="F66:G66"/>
    <mergeCell ref="F67:G67"/>
    <mergeCell ref="K65:M65"/>
    <mergeCell ref="K66:M66"/>
    <mergeCell ref="K67:M67"/>
    <mergeCell ref="P65:Q65"/>
    <mergeCell ref="P66:Q66"/>
    <mergeCell ref="P67:Q67"/>
    <mergeCell ref="V65:X65"/>
    <mergeCell ref="V66:X66"/>
    <mergeCell ref="V67:X67"/>
    <mergeCell ref="Z65:AA65"/>
    <mergeCell ref="Z66:AA66"/>
    <mergeCell ref="Z67:AA67"/>
    <mergeCell ref="Y215:Z215"/>
    <mergeCell ref="Y217:Z217"/>
    <mergeCell ref="Y219:Z219"/>
    <mergeCell ref="Y221:Z221"/>
    <mergeCell ref="Y223:Z223"/>
    <mergeCell ref="E189:Y189"/>
    <mergeCell ref="E190:Y190"/>
    <mergeCell ref="E191:Y191"/>
    <mergeCell ref="G131:J131"/>
    <mergeCell ref="AA130:AD130"/>
    <mergeCell ref="AA129:AD129"/>
    <mergeCell ref="V121:X121"/>
    <mergeCell ref="N148:Q148"/>
    <mergeCell ref="N140:V140"/>
    <mergeCell ref="AA91:AC91"/>
    <mergeCell ref="V118:X118"/>
    <mergeCell ref="V119:X119"/>
    <mergeCell ref="W94:Y94"/>
    <mergeCell ref="AA92:AC92"/>
    <mergeCell ref="AA93:AC93"/>
    <mergeCell ref="AC223:AI223"/>
    <mergeCell ref="AC221:AI221"/>
    <mergeCell ref="AC219:AI219"/>
    <mergeCell ref="AC217:AI217"/>
    <mergeCell ref="AC215:AI215"/>
    <mergeCell ref="W192:Y192"/>
    <mergeCell ref="E193:Y193"/>
    <mergeCell ref="AC196:AG196"/>
    <mergeCell ref="Y211:Z211"/>
    <mergeCell ref="AC211:AI211"/>
    <mergeCell ref="Y213:Z213"/>
    <mergeCell ref="AC213:AI213"/>
    <mergeCell ref="B202:H202"/>
    <mergeCell ref="R202:U202"/>
    <mergeCell ref="D204:Z204"/>
    <mergeCell ref="AG204:AK204"/>
    <mergeCell ref="AG205:AK205"/>
    <mergeCell ref="E194:I194"/>
    <mergeCell ref="E192:K192"/>
    <mergeCell ref="O192:R192"/>
    <mergeCell ref="AF14:AK14"/>
    <mergeCell ref="AF15:AK15"/>
    <mergeCell ref="AF16:AK16"/>
    <mergeCell ref="AH180:AK180"/>
    <mergeCell ref="AE181:AK181"/>
    <mergeCell ref="AG23:AJ23"/>
    <mergeCell ref="AG24:AI24"/>
    <mergeCell ref="I49:K49"/>
    <mergeCell ref="I50:K50"/>
    <mergeCell ref="I51:K51"/>
    <mergeCell ref="N47:P47"/>
    <mergeCell ref="N48:P48"/>
    <mergeCell ref="N49:P49"/>
    <mergeCell ref="N51:P51"/>
    <mergeCell ref="G40:R40"/>
    <mergeCell ref="N50:P50"/>
    <mergeCell ref="N42:R42"/>
    <mergeCell ref="N44:R44"/>
    <mergeCell ref="AE90:AG90"/>
    <mergeCell ref="AE57:AG57"/>
    <mergeCell ref="AI93:AK93"/>
    <mergeCell ref="AE88:AG88"/>
    <mergeCell ref="AE89:AG89"/>
    <mergeCell ref="AA90:AC90"/>
    <mergeCell ref="AE58:AG58"/>
    <mergeCell ref="AH77:AK77"/>
    <mergeCell ref="Y80:AA80"/>
    <mergeCell ref="Y79:AA79"/>
    <mergeCell ref="Y78:AA78"/>
    <mergeCell ref="AA88:AC88"/>
    <mergeCell ref="AA89:AC89"/>
    <mergeCell ref="AE84:AG84"/>
    <mergeCell ref="AI84:AK84"/>
    <mergeCell ref="Z73:AC73"/>
    <mergeCell ref="A75:AL75"/>
    <mergeCell ref="Y77:AB77"/>
    <mergeCell ref="AI69:AJ69"/>
    <mergeCell ref="P69:Q69"/>
    <mergeCell ref="AI85:AK85"/>
    <mergeCell ref="Q85:S85"/>
    <mergeCell ref="W88:Y88"/>
    <mergeCell ref="W89:Y89"/>
    <mergeCell ref="M80:O80"/>
    <mergeCell ref="E85:G85"/>
    <mergeCell ref="M84:O84"/>
    <mergeCell ref="AG62:AK62"/>
    <mergeCell ref="AA85:AC85"/>
    <mergeCell ref="B89:D89"/>
    <mergeCell ref="G24:J24"/>
    <mergeCell ref="N24:P24"/>
    <mergeCell ref="G25:I25"/>
    <mergeCell ref="G27:I27"/>
    <mergeCell ref="Z27:AB27"/>
    <mergeCell ref="AG48:AI48"/>
    <mergeCell ref="AG47:AI47"/>
    <mergeCell ref="AH80:AJ80"/>
    <mergeCell ref="AI88:AK88"/>
    <mergeCell ref="I53:K53"/>
    <mergeCell ref="I54:K54"/>
    <mergeCell ref="I55:K55"/>
    <mergeCell ref="I56:K56"/>
    <mergeCell ref="AG53:AI53"/>
    <mergeCell ref="AG54:AI54"/>
    <mergeCell ref="AG55:AI55"/>
    <mergeCell ref="AG56:AI56"/>
    <mergeCell ref="P72:Q72"/>
    <mergeCell ref="P73:Q73"/>
    <mergeCell ref="AI72:AJ72"/>
    <mergeCell ref="AI73:AJ73"/>
    <mergeCell ref="K64:M64"/>
    <mergeCell ref="K63:R63"/>
    <mergeCell ref="AE85:AG85"/>
    <mergeCell ref="AC148:AF148"/>
    <mergeCell ref="X148:AA148"/>
    <mergeCell ref="M122:P122"/>
    <mergeCell ref="W93:Y93"/>
    <mergeCell ref="AE94:AG94"/>
    <mergeCell ref="AG136:AJ136"/>
    <mergeCell ref="M123:P123"/>
    <mergeCell ref="AH100:AK100"/>
    <mergeCell ref="AD109:AF109"/>
    <mergeCell ref="AH101:AJ101"/>
    <mergeCell ref="Y100:AB100"/>
    <mergeCell ref="Y101:AA101"/>
    <mergeCell ref="Y102:AA102"/>
    <mergeCell ref="A96:AL96"/>
    <mergeCell ref="A104:AL104"/>
    <mergeCell ref="A108:AL108"/>
    <mergeCell ref="E101:G101"/>
    <mergeCell ref="O101:Q101"/>
    <mergeCell ref="O102:Q102"/>
    <mergeCell ref="I93:K93"/>
    <mergeCell ref="M93:O93"/>
    <mergeCell ref="B126:D126"/>
    <mergeCell ref="B127:D127"/>
    <mergeCell ref="B128:D128"/>
    <mergeCell ref="B60:H60"/>
    <mergeCell ref="R60:U60"/>
    <mergeCell ref="AA84:AC84"/>
    <mergeCell ref="AG61:AK61"/>
    <mergeCell ref="AH79:AJ79"/>
    <mergeCell ref="N23:Q23"/>
    <mergeCell ref="O70:Q70"/>
    <mergeCell ref="Z70:AC70"/>
    <mergeCell ref="AH70:AJ70"/>
    <mergeCell ref="I47:K47"/>
    <mergeCell ref="I48:K48"/>
    <mergeCell ref="Z26:AB26"/>
    <mergeCell ref="AG25:AI25"/>
    <mergeCell ref="Z25:AB25"/>
    <mergeCell ref="Z24:AC24"/>
    <mergeCell ref="AH32:AJ32"/>
    <mergeCell ref="Y32:AA32"/>
    <mergeCell ref="AB53:AD53"/>
    <mergeCell ref="AB54:AD54"/>
    <mergeCell ref="AB55:AD55"/>
    <mergeCell ref="AG27:AI27"/>
    <mergeCell ref="O32:Q32"/>
    <mergeCell ref="N36:R36"/>
    <mergeCell ref="AB51:AD51"/>
    <mergeCell ref="AI94:AK94"/>
    <mergeCell ref="E77:H77"/>
    <mergeCell ref="E78:G78"/>
    <mergeCell ref="E79:G79"/>
    <mergeCell ref="E80:G80"/>
    <mergeCell ref="B88:D88"/>
    <mergeCell ref="M79:O79"/>
    <mergeCell ref="E88:G88"/>
    <mergeCell ref="E84:G84"/>
    <mergeCell ref="I84:K84"/>
    <mergeCell ref="N77:Q77"/>
    <mergeCell ref="M85:O85"/>
    <mergeCell ref="I85:K85"/>
    <mergeCell ref="Q90:S90"/>
    <mergeCell ref="B91:D91"/>
    <mergeCell ref="B92:D92"/>
    <mergeCell ref="AI92:AK92"/>
    <mergeCell ref="AI89:AK89"/>
    <mergeCell ref="AI90:AK90"/>
    <mergeCell ref="AI91:AK91"/>
    <mergeCell ref="AE93:AG93"/>
    <mergeCell ref="E92:G92"/>
    <mergeCell ref="E89:G89"/>
    <mergeCell ref="M89:O89"/>
    <mergeCell ref="Q89:S89"/>
    <mergeCell ref="AG120:AJ120"/>
    <mergeCell ref="AG122:AJ122"/>
    <mergeCell ref="AA118:AD118"/>
    <mergeCell ref="AH102:AJ102"/>
    <mergeCell ref="AG113:AK113"/>
    <mergeCell ref="AG112:AK112"/>
    <mergeCell ref="AD105:AG105"/>
    <mergeCell ref="AD106:AG106"/>
    <mergeCell ref="D112:Z112"/>
    <mergeCell ref="B111:H111"/>
    <mergeCell ref="E102:G102"/>
    <mergeCell ref="AA117:AD117"/>
    <mergeCell ref="A115:AL115"/>
    <mergeCell ref="G117:J117"/>
    <mergeCell ref="G120:J120"/>
    <mergeCell ref="AG118:AJ118"/>
    <mergeCell ref="AG119:AJ119"/>
    <mergeCell ref="M120:P120"/>
    <mergeCell ref="G121:J121"/>
    <mergeCell ref="AE91:AG91"/>
    <mergeCell ref="AA94:AC94"/>
    <mergeCell ref="AE92:AG92"/>
    <mergeCell ref="V127:X127"/>
    <mergeCell ref="V125:X125"/>
    <mergeCell ref="V126:X126"/>
    <mergeCell ref="V123:X123"/>
    <mergeCell ref="V120:X120"/>
    <mergeCell ref="AA128:AD128"/>
    <mergeCell ref="AA127:AD127"/>
    <mergeCell ref="AA120:AD120"/>
    <mergeCell ref="AA119:AD119"/>
    <mergeCell ref="M128:P128"/>
    <mergeCell ref="M125:P125"/>
    <mergeCell ref="M126:P126"/>
    <mergeCell ref="B93:D93"/>
    <mergeCell ref="B94:D94"/>
    <mergeCell ref="B121:D121"/>
    <mergeCell ref="E90:G90"/>
    <mergeCell ref="I106:L106"/>
    <mergeCell ref="Q93:S93"/>
    <mergeCell ref="O100:R100"/>
    <mergeCell ref="E100:H100"/>
    <mergeCell ref="G127:J127"/>
    <mergeCell ref="G128:J128"/>
    <mergeCell ref="G123:J123"/>
    <mergeCell ref="G124:J124"/>
    <mergeCell ref="G126:J126"/>
    <mergeCell ref="M127:P127"/>
    <mergeCell ref="M118:P118"/>
    <mergeCell ref="G119:J119"/>
    <mergeCell ref="G125:J125"/>
    <mergeCell ref="M124:P124"/>
    <mergeCell ref="AG121:AJ121"/>
    <mergeCell ref="AA122:AD122"/>
    <mergeCell ref="AG127:AJ127"/>
    <mergeCell ref="AG128:AJ128"/>
    <mergeCell ref="AG129:AJ129"/>
    <mergeCell ref="AA126:AD126"/>
    <mergeCell ref="AA125:AD125"/>
    <mergeCell ref="AA124:AD124"/>
    <mergeCell ref="AA123:AD123"/>
    <mergeCell ref="AA121:AD121"/>
    <mergeCell ref="AG123:AJ123"/>
    <mergeCell ref="AG124:AJ124"/>
    <mergeCell ref="AG125:AJ125"/>
    <mergeCell ref="AG126:AJ126"/>
    <mergeCell ref="C142:D142"/>
    <mergeCell ref="C143:D143"/>
    <mergeCell ref="C144:D144"/>
    <mergeCell ref="C145:D145"/>
    <mergeCell ref="C146:D146"/>
    <mergeCell ref="C147:D147"/>
    <mergeCell ref="S142:V142"/>
    <mergeCell ref="S143:V143"/>
    <mergeCell ref="AC145:AF145"/>
    <mergeCell ref="S146:V146"/>
    <mergeCell ref="S147:V147"/>
    <mergeCell ref="X143:AA143"/>
    <mergeCell ref="X142:AA142"/>
    <mergeCell ref="N146:Q146"/>
    <mergeCell ref="S144:V144"/>
    <mergeCell ref="X144:AA144"/>
    <mergeCell ref="X146:AA146"/>
    <mergeCell ref="X147:AA147"/>
    <mergeCell ref="B133:D133"/>
    <mergeCell ref="B130:D130"/>
    <mergeCell ref="B131:D131"/>
    <mergeCell ref="G130:J130"/>
    <mergeCell ref="C151:D151"/>
    <mergeCell ref="X152:AA152"/>
    <mergeCell ref="X153:AA153"/>
    <mergeCell ref="I151:L151"/>
    <mergeCell ref="S150:V150"/>
    <mergeCell ref="X150:AA150"/>
    <mergeCell ref="X151:AA151"/>
    <mergeCell ref="B135:D135"/>
    <mergeCell ref="B136:D136"/>
    <mergeCell ref="M135:P135"/>
    <mergeCell ref="B137:D137"/>
    <mergeCell ref="G135:J135"/>
    <mergeCell ref="G136:J136"/>
    <mergeCell ref="G137:J137"/>
    <mergeCell ref="M136:P136"/>
    <mergeCell ref="M137:P137"/>
    <mergeCell ref="V137:X137"/>
    <mergeCell ref="X141:AA141"/>
    <mergeCell ref="AA136:AD136"/>
    <mergeCell ref="G134:J134"/>
    <mergeCell ref="B185:AK188"/>
    <mergeCell ref="C154:D154"/>
    <mergeCell ref="Z173:AC173"/>
    <mergeCell ref="AH173:AK173"/>
    <mergeCell ref="Z180:AC180"/>
    <mergeCell ref="AG159:AK159"/>
    <mergeCell ref="S153:V153"/>
    <mergeCell ref="F175:V175"/>
    <mergeCell ref="X154:AA154"/>
    <mergeCell ref="N154:Q154"/>
    <mergeCell ref="I153:L153"/>
    <mergeCell ref="I154:L154"/>
    <mergeCell ref="B161:AK168"/>
    <mergeCell ref="R157:U157"/>
    <mergeCell ref="C153:D153"/>
    <mergeCell ref="D158:Z158"/>
    <mergeCell ref="B157:H157"/>
    <mergeCell ref="F174:V174"/>
    <mergeCell ref="AG158:AK158"/>
    <mergeCell ref="AE182:AI182"/>
    <mergeCell ref="AE175:AI175"/>
    <mergeCell ref="F178:V178"/>
    <mergeCell ref="AC154:AF154"/>
    <mergeCell ref="AC153:AF153"/>
    <mergeCell ref="C152:D152"/>
    <mergeCell ref="I148:L148"/>
    <mergeCell ref="S154:V154"/>
    <mergeCell ref="S145:V145"/>
    <mergeCell ref="S152:V152"/>
    <mergeCell ref="I152:L152"/>
    <mergeCell ref="S151:V151"/>
    <mergeCell ref="N147:Q147"/>
    <mergeCell ref="S149:V149"/>
    <mergeCell ref="C150:D150"/>
    <mergeCell ref="C149:D149"/>
    <mergeCell ref="AC151:AF151"/>
    <mergeCell ref="AC149:AF149"/>
    <mergeCell ref="G132:J132"/>
    <mergeCell ref="F171:V171"/>
    <mergeCell ref="I88:K88"/>
    <mergeCell ref="M121:P121"/>
    <mergeCell ref="I142:L142"/>
    <mergeCell ref="I143:L143"/>
    <mergeCell ref="I144:L144"/>
    <mergeCell ref="I145:L145"/>
    <mergeCell ref="N142:Q142"/>
    <mergeCell ref="N143:Q143"/>
    <mergeCell ref="N144:Q144"/>
    <mergeCell ref="N145:Q145"/>
    <mergeCell ref="M88:O88"/>
    <mergeCell ref="Q88:S88"/>
    <mergeCell ref="S141:V141"/>
    <mergeCell ref="M134:P134"/>
    <mergeCell ref="S148:V148"/>
    <mergeCell ref="N149:Q149"/>
    <mergeCell ref="N150:Q150"/>
    <mergeCell ref="V122:X122"/>
    <mergeCell ref="G133:J133"/>
    <mergeCell ref="I105:L105"/>
    <mergeCell ref="F179:V179"/>
    <mergeCell ref="F180:V180"/>
    <mergeCell ref="F181:V181"/>
    <mergeCell ref="F182:V182"/>
    <mergeCell ref="AH145:AK145"/>
    <mergeCell ref="AH146:AK146"/>
    <mergeCell ref="AA137:AD137"/>
    <mergeCell ref="AC142:AF142"/>
    <mergeCell ref="AC143:AF143"/>
    <mergeCell ref="AC144:AF144"/>
    <mergeCell ref="AH142:AK142"/>
    <mergeCell ref="AH143:AK143"/>
    <mergeCell ref="AH144:AK144"/>
    <mergeCell ref="AC141:AF141"/>
    <mergeCell ref="F172:V172"/>
    <mergeCell ref="F173:V173"/>
    <mergeCell ref="AH151:AK151"/>
    <mergeCell ref="AH152:AK152"/>
    <mergeCell ref="AH153:AK153"/>
    <mergeCell ref="AH154:AK154"/>
    <mergeCell ref="N151:Q151"/>
    <mergeCell ref="N152:Q152"/>
    <mergeCell ref="N153:Q153"/>
    <mergeCell ref="AC152:AF152"/>
    <mergeCell ref="BD1:BZ4"/>
    <mergeCell ref="AS6:BF7"/>
    <mergeCell ref="N25:P25"/>
    <mergeCell ref="N27:P27"/>
    <mergeCell ref="I52:K52"/>
    <mergeCell ref="AB56:AD56"/>
    <mergeCell ref="AG51:AI51"/>
    <mergeCell ref="S1:AL4"/>
    <mergeCell ref="AG36:AK36"/>
    <mergeCell ref="Z40:AK40"/>
    <mergeCell ref="H7:W7"/>
    <mergeCell ref="H11:AI11"/>
    <mergeCell ref="A20:AL20"/>
    <mergeCell ref="AG42:AK42"/>
    <mergeCell ref="F31:I31"/>
    <mergeCell ref="F32:H32"/>
    <mergeCell ref="AG50:AI50"/>
    <mergeCell ref="AG49:AI49"/>
    <mergeCell ref="Y31:AB31"/>
    <mergeCell ref="AB50:AD50"/>
    <mergeCell ref="AB49:AD49"/>
    <mergeCell ref="AB48:AD48"/>
    <mergeCell ref="AB47:AD47"/>
    <mergeCell ref="AG44:AK44"/>
    <mergeCell ref="G129:J129"/>
    <mergeCell ref="W91:Y91"/>
    <mergeCell ref="W92:Y92"/>
    <mergeCell ref="M119:P119"/>
    <mergeCell ref="G122:J122"/>
    <mergeCell ref="B132:D132"/>
    <mergeCell ref="B122:D122"/>
    <mergeCell ref="B123:D123"/>
    <mergeCell ref="B124:D124"/>
    <mergeCell ref="B125:D125"/>
    <mergeCell ref="V128:X128"/>
    <mergeCell ref="V129:X129"/>
    <mergeCell ref="B129:D129"/>
    <mergeCell ref="V124:X124"/>
    <mergeCell ref="E91:G91"/>
    <mergeCell ref="I91:K91"/>
    <mergeCell ref="M91:O91"/>
    <mergeCell ref="Q91:S91"/>
    <mergeCell ref="E94:G94"/>
    <mergeCell ref="I94:K94"/>
    <mergeCell ref="M94:O94"/>
    <mergeCell ref="Q94:S94"/>
    <mergeCell ref="Q92:S92"/>
    <mergeCell ref="E93:G93"/>
    <mergeCell ref="E15:Z15"/>
    <mergeCell ref="E16:Z16"/>
    <mergeCell ref="F70:I70"/>
    <mergeCell ref="G26:I26"/>
    <mergeCell ref="D61:Z61"/>
    <mergeCell ref="G118:J118"/>
    <mergeCell ref="B120:D120"/>
    <mergeCell ref="J109:L109"/>
    <mergeCell ref="R111:U111"/>
    <mergeCell ref="F73:I73"/>
    <mergeCell ref="L58:N58"/>
    <mergeCell ref="L57:N57"/>
    <mergeCell ref="B90:D90"/>
    <mergeCell ref="B118:D118"/>
    <mergeCell ref="B119:D119"/>
    <mergeCell ref="W85:Y85"/>
    <mergeCell ref="W84:Y84"/>
    <mergeCell ref="Q84:S84"/>
    <mergeCell ref="M92:O92"/>
    <mergeCell ref="I92:K92"/>
    <mergeCell ref="W90:Y90"/>
    <mergeCell ref="I90:K90"/>
    <mergeCell ref="M90:O90"/>
    <mergeCell ref="I89:K89"/>
    <mergeCell ref="AG130:AJ130"/>
    <mergeCell ref="M129:P129"/>
    <mergeCell ref="AG134:AJ134"/>
    <mergeCell ref="AG135:AJ135"/>
    <mergeCell ref="AA133:AD133"/>
    <mergeCell ref="AA132:AD132"/>
    <mergeCell ref="AG133:AJ133"/>
    <mergeCell ref="AG131:AJ131"/>
    <mergeCell ref="M131:P131"/>
    <mergeCell ref="AG132:AJ132"/>
    <mergeCell ref="AA134:AD134"/>
    <mergeCell ref="V132:X132"/>
    <mergeCell ref="AA131:AD131"/>
    <mergeCell ref="M133:P133"/>
    <mergeCell ref="V130:X130"/>
    <mergeCell ref="V133:X133"/>
    <mergeCell ref="V131:X131"/>
    <mergeCell ref="M130:P130"/>
    <mergeCell ref="M132:P132"/>
    <mergeCell ref="V134:X134"/>
    <mergeCell ref="B134:D134"/>
    <mergeCell ref="AG137:AJ137"/>
    <mergeCell ref="AA135:AD135"/>
    <mergeCell ref="V135:X135"/>
    <mergeCell ref="V136:X136"/>
    <mergeCell ref="B252:H252"/>
    <mergeCell ref="R252:U252"/>
    <mergeCell ref="X145:AA145"/>
    <mergeCell ref="A139:AL139"/>
    <mergeCell ref="I149:L149"/>
    <mergeCell ref="I150:L150"/>
    <mergeCell ref="I146:L146"/>
    <mergeCell ref="I141:L141"/>
    <mergeCell ref="N141:Q141"/>
    <mergeCell ref="AH141:AK141"/>
    <mergeCell ref="AH148:AK148"/>
    <mergeCell ref="AC146:AF146"/>
    <mergeCell ref="AC147:AF147"/>
    <mergeCell ref="I147:L147"/>
    <mergeCell ref="AH147:AK147"/>
    <mergeCell ref="AC150:AF150"/>
    <mergeCell ref="AH149:AK149"/>
    <mergeCell ref="AH150:AK150"/>
    <mergeCell ref="X149:AA149"/>
  </mergeCells>
  <conditionalFormatting sqref="B161:AK168">
    <cfRule type="expression" dxfId="210" priority="70">
      <formula>$AM$227&gt;0</formula>
    </cfRule>
    <cfRule type="cellIs" priority="69" stopIfTrue="1" operator="greaterThan">
      <formula>0</formula>
    </cfRule>
  </conditionalFormatting>
  <conditionalFormatting sqref="D209 F209">
    <cfRule type="expression" dxfId="209" priority="22">
      <formula>ISBLANK(D209)</formula>
    </cfRule>
  </conditionalFormatting>
  <conditionalFormatting sqref="D211 F211">
    <cfRule type="expression" dxfId="208" priority="66">
      <formula>ISBLANK(D211)</formula>
    </cfRule>
  </conditionalFormatting>
  <conditionalFormatting sqref="D213 F213">
    <cfRule type="expression" dxfId="207" priority="61">
      <formula>ISBLANK(D213)</formula>
    </cfRule>
  </conditionalFormatting>
  <conditionalFormatting sqref="D215 F215">
    <cfRule type="expression" dxfId="206" priority="58">
      <formula>ISBLANK(D215)</formula>
    </cfRule>
  </conditionalFormatting>
  <conditionalFormatting sqref="D217 F217">
    <cfRule type="expression" dxfId="205" priority="55">
      <formula>ISBLANK(D217)</formula>
    </cfRule>
  </conditionalFormatting>
  <conditionalFormatting sqref="D219 F219">
    <cfRule type="expression" dxfId="204" priority="52">
      <formula>ISBLANK(D219)</formula>
    </cfRule>
  </conditionalFormatting>
  <conditionalFormatting sqref="D221 F221">
    <cfRule type="expression" dxfId="203" priority="41">
      <formula>ISBLANK(D221)</formula>
    </cfRule>
  </conditionalFormatting>
  <conditionalFormatting sqref="D223 F223">
    <cfRule type="expression" dxfId="202" priority="19">
      <formula>ISBLANK(D223)</formula>
    </cfRule>
  </conditionalFormatting>
  <conditionalFormatting sqref="D61:Z61">
    <cfRule type="cellIs" dxfId="201" priority="168" operator="equal">
      <formula>0</formula>
    </cfRule>
  </conditionalFormatting>
  <conditionalFormatting sqref="D112:Z112">
    <cfRule type="cellIs" dxfId="200" priority="166" operator="equal">
      <formula>0</formula>
    </cfRule>
  </conditionalFormatting>
  <conditionalFormatting sqref="D158:Z158">
    <cfRule type="cellIs" dxfId="199" priority="161" operator="equal">
      <formula>0</formula>
    </cfRule>
  </conditionalFormatting>
  <conditionalFormatting sqref="D204:Z204">
    <cfRule type="cellIs" dxfId="198" priority="74" operator="equal">
      <formula>0</formula>
    </cfRule>
  </conditionalFormatting>
  <conditionalFormatting sqref="E189:E190">
    <cfRule type="expression" dxfId="197" priority="26">
      <formula>ISBLANK(E189)</formula>
    </cfRule>
  </conditionalFormatting>
  <conditionalFormatting sqref="E191:Y191 E192:E194">
    <cfRule type="expression" dxfId="196" priority="24">
      <formula>ISBLANK(E191)</formula>
    </cfRule>
  </conditionalFormatting>
  <conditionalFormatting sqref="E15:Z16 AF16">
    <cfRule type="cellIs" dxfId="195" priority="155" operator="equal">
      <formula>0</formula>
    </cfRule>
  </conditionalFormatting>
  <conditionalFormatting sqref="F171:F175 Z173 AH173">
    <cfRule type="expression" dxfId="194" priority="178">
      <formula>ISBLANK(F171)</formula>
    </cfRule>
  </conditionalFormatting>
  <conditionalFormatting sqref="F178:F182 Z180 AH180 AE181 AE182:AI182">
    <cfRule type="expression" priority="176" stopIfTrue="1">
      <formula>$AM$177=2</formula>
    </cfRule>
    <cfRule type="expression" dxfId="193" priority="1126">
      <formula>ISBLANK(F178)</formula>
    </cfRule>
  </conditionalFormatting>
  <conditionalFormatting sqref="F209 D209">
    <cfRule type="expression" priority="21" stopIfTrue="1">
      <formula>$AM$209=2</formula>
    </cfRule>
  </conditionalFormatting>
  <conditionalFormatting sqref="F209">
    <cfRule type="expression" dxfId="192" priority="20">
      <formula>$AN$209=2</formula>
    </cfRule>
  </conditionalFormatting>
  <conditionalFormatting sqref="F211 D211">
    <cfRule type="expression" priority="65" stopIfTrue="1">
      <formula>$AM$211=2</formula>
    </cfRule>
  </conditionalFormatting>
  <conditionalFormatting sqref="F211">
    <cfRule type="expression" dxfId="191" priority="64">
      <formula>$AN$211=2</formula>
    </cfRule>
  </conditionalFormatting>
  <conditionalFormatting sqref="F213 D213">
    <cfRule type="expression" priority="60" stopIfTrue="1">
      <formula>$AM$213=2</formula>
    </cfRule>
  </conditionalFormatting>
  <conditionalFormatting sqref="F213">
    <cfRule type="expression" dxfId="190" priority="59">
      <formula>$AN$213=2</formula>
    </cfRule>
  </conditionalFormatting>
  <conditionalFormatting sqref="F215 D215">
    <cfRule type="expression" priority="57" stopIfTrue="1">
      <formula>$AM$215=2</formula>
    </cfRule>
  </conditionalFormatting>
  <conditionalFormatting sqref="F215">
    <cfRule type="expression" dxfId="189" priority="56">
      <formula>$AN$215=2</formula>
    </cfRule>
  </conditionalFormatting>
  <conditionalFormatting sqref="F217 D217">
    <cfRule type="expression" priority="54" stopIfTrue="1">
      <formula>$AM$217=2</formula>
    </cfRule>
  </conditionalFormatting>
  <conditionalFormatting sqref="F217">
    <cfRule type="expression" dxfId="188" priority="53">
      <formula>$AN$217=2</formula>
    </cfRule>
  </conditionalFormatting>
  <conditionalFormatting sqref="F219 D219">
    <cfRule type="expression" priority="51" stopIfTrue="1">
      <formula>$AM$219=2</formula>
    </cfRule>
  </conditionalFormatting>
  <conditionalFormatting sqref="F219">
    <cfRule type="expression" dxfId="187" priority="50">
      <formula>$AN$219=2</formula>
    </cfRule>
  </conditionalFormatting>
  <conditionalFormatting sqref="F221 D221">
    <cfRule type="expression" priority="40" stopIfTrue="1">
      <formula>$AM$221=2</formula>
    </cfRule>
  </conditionalFormatting>
  <conditionalFormatting sqref="F221">
    <cfRule type="expression" dxfId="186" priority="39">
      <formula>$AN$221=2</formula>
    </cfRule>
  </conditionalFormatting>
  <conditionalFormatting sqref="F223 D223">
    <cfRule type="expression" priority="18" stopIfTrue="1">
      <formula>$AM$223=2</formula>
    </cfRule>
  </conditionalFormatting>
  <conditionalFormatting sqref="F223">
    <cfRule type="expression" dxfId="185" priority="17">
      <formula>$AN$223=2</formula>
    </cfRule>
  </conditionalFormatting>
  <conditionalFormatting sqref="G18 N18 Z18 AH18">
    <cfRule type="expression" dxfId="184" priority="174">
      <formula>ISBLANK(G18)</formula>
    </cfRule>
  </conditionalFormatting>
  <conditionalFormatting sqref="I149:I154">
    <cfRule type="cellIs" dxfId="183" priority="329" operator="notEqual">
      <formula>$I142</formula>
    </cfRule>
    <cfRule type="expression" dxfId="182" priority="328" stopIfTrue="1">
      <formula>ISBLANK(I149)</formula>
    </cfRule>
  </conditionalFormatting>
  <conditionalFormatting sqref="N149:N154">
    <cfRule type="cellIs" dxfId="181" priority="323" operator="notEqual">
      <formula>$N142</formula>
    </cfRule>
    <cfRule type="expression" dxfId="180" priority="322" stopIfTrue="1">
      <formula>ISBLANK(N149)</formula>
    </cfRule>
  </conditionalFormatting>
  <conditionalFormatting sqref="O192 W192">
    <cfRule type="expression" dxfId="179" priority="23">
      <formula>ISBLANK(O192)</formula>
    </cfRule>
  </conditionalFormatting>
  <conditionalFormatting sqref="S142:S147 X142:X147 AC142:AC147">
    <cfRule type="expression" dxfId="178" priority="263">
      <formula>ISBLANK(S142)</formula>
    </cfRule>
  </conditionalFormatting>
  <conditionalFormatting sqref="S149:S154 X149:X154 AC149:AC154">
    <cfRule type="expression" dxfId="177" priority="75" stopIfTrue="1">
      <formula>ISBLANK(S149)</formula>
    </cfRule>
  </conditionalFormatting>
  <conditionalFormatting sqref="U23 U34">
    <cfRule type="cellIs" priority="140" stopIfTrue="1" operator="greaterThan">
      <formula>0</formula>
    </cfRule>
    <cfRule type="expression" dxfId="176" priority="141">
      <formula>$AN$23=1</formula>
    </cfRule>
  </conditionalFormatting>
  <conditionalFormatting sqref="V36 Z36 V40">
    <cfRule type="expression" dxfId="175" priority="119">
      <formula>$AM$34=2</formula>
    </cfRule>
    <cfRule type="cellIs" priority="117" stopIfTrue="1" operator="greaterThan">
      <formula>0</formula>
    </cfRule>
    <cfRule type="expression" priority="118" stopIfTrue="1">
      <formula>$AM$36=2</formula>
    </cfRule>
  </conditionalFormatting>
  <conditionalFormatting sqref="V38">
    <cfRule type="expression" dxfId="174" priority="36">
      <formula>$AM$34=2</formula>
    </cfRule>
    <cfRule type="cellIs" priority="34" stopIfTrue="1" operator="greaterThan">
      <formula>0</formula>
    </cfRule>
    <cfRule type="expression" priority="35" stopIfTrue="1">
      <formula>$AM$36=2</formula>
    </cfRule>
  </conditionalFormatting>
  <conditionalFormatting sqref="V65:X67 Z65:AA67 AD65:AF67 AI65:AJ67">
    <cfRule type="cellIs" priority="1" stopIfTrue="1" operator="greaterThan">
      <formula>0</formula>
    </cfRule>
    <cfRule type="expression" dxfId="173" priority="2">
      <formula>$AN65=2</formula>
    </cfRule>
  </conditionalFormatting>
  <conditionalFormatting sqref="V118:X118">
    <cfRule type="cellIs" priority="71" operator="greaterThan">
      <formula>0</formula>
    </cfRule>
    <cfRule type="expression" dxfId="172" priority="72">
      <formula>ISBLANK($V$118)</formula>
    </cfRule>
  </conditionalFormatting>
  <conditionalFormatting sqref="X149:X153">
    <cfRule type="cellIs" dxfId="171" priority="321" operator="greaterThan">
      <formula>$Y$102</formula>
    </cfRule>
  </conditionalFormatting>
  <conditionalFormatting sqref="X149:AA153">
    <cfRule type="expression" priority="173" stopIfTrue="1">
      <formula>$AM$146=1</formula>
    </cfRule>
  </conditionalFormatting>
  <conditionalFormatting sqref="Y42 AB42">
    <cfRule type="expression" dxfId="170" priority="112">
      <formula>$AM$34=2</formula>
    </cfRule>
    <cfRule type="expression" priority="111" stopIfTrue="1">
      <formula>$AM$42=2</formula>
    </cfRule>
    <cfRule type="cellIs" priority="110" stopIfTrue="1" operator="greaterThan">
      <formula>0</formula>
    </cfRule>
  </conditionalFormatting>
  <conditionalFormatting sqref="Y44 AB44">
    <cfRule type="expression" priority="106" stopIfTrue="1">
      <formula>$AM$44=2</formula>
    </cfRule>
    <cfRule type="cellIs" priority="105" stopIfTrue="1" operator="greaterThan">
      <formula>0</formula>
    </cfRule>
    <cfRule type="expression" dxfId="169" priority="107">
      <formula>$AM$34=2</formula>
    </cfRule>
  </conditionalFormatting>
  <conditionalFormatting sqref="Y77 AH80 W84:W85 N142:N147">
    <cfRule type="expression" dxfId="168" priority="264">
      <formula>ISBLANK(N77)</formula>
    </cfRule>
  </conditionalFormatting>
  <conditionalFormatting sqref="Y80">
    <cfRule type="expression" dxfId="167" priority="240">
      <formula>ISBLANK(Y80)</formula>
    </cfRule>
  </conditionalFormatting>
  <conditionalFormatting sqref="Y82 AB82">
    <cfRule type="expression" dxfId="166" priority="1010">
      <formula>$AM$82=1</formula>
    </cfRule>
  </conditionalFormatting>
  <conditionalFormatting sqref="Y87 AB87">
    <cfRule type="expression" dxfId="165" priority="1012">
      <formula>$AM$87=1</formula>
    </cfRule>
  </conditionalFormatting>
  <conditionalFormatting sqref="Y177">
    <cfRule type="expression" dxfId="164" priority="179">
      <formula>ISBLANK(Y177)</formula>
    </cfRule>
  </conditionalFormatting>
  <conditionalFormatting sqref="Y211 AC211">
    <cfRule type="cellIs" priority="62" stopIfTrue="1" operator="greaterThan">
      <formula>0</formula>
    </cfRule>
    <cfRule type="expression" dxfId="163" priority="63">
      <formula>$AO$211=2</formula>
    </cfRule>
  </conditionalFormatting>
  <conditionalFormatting sqref="Y213 AC213">
    <cfRule type="expression" dxfId="162" priority="49">
      <formula>$AO$213=2</formula>
    </cfRule>
    <cfRule type="cellIs" priority="48" stopIfTrue="1" operator="greaterThan">
      <formula>0</formula>
    </cfRule>
  </conditionalFormatting>
  <conditionalFormatting sqref="Y215 AC215">
    <cfRule type="expression" dxfId="161" priority="47">
      <formula>$AO$215=2</formula>
    </cfRule>
    <cfRule type="cellIs" priority="46" stopIfTrue="1" operator="greaterThan">
      <formula>0</formula>
    </cfRule>
  </conditionalFormatting>
  <conditionalFormatting sqref="Y217 AC217">
    <cfRule type="expression" dxfId="160" priority="45">
      <formula>$AO$217=2</formula>
    </cfRule>
    <cfRule type="cellIs" priority="44" stopIfTrue="1" operator="greaterThan">
      <formula>0</formula>
    </cfRule>
  </conditionalFormatting>
  <conditionalFormatting sqref="Y219 AC219">
    <cfRule type="cellIs" priority="9" stopIfTrue="1" operator="greaterThan">
      <formula>0</formula>
    </cfRule>
    <cfRule type="expression" dxfId="159" priority="10">
      <formula>$AO$219=2</formula>
    </cfRule>
  </conditionalFormatting>
  <conditionalFormatting sqref="Y221 AC221">
    <cfRule type="cellIs" priority="7" stopIfTrue="1" operator="greaterThan">
      <formula>0</formula>
    </cfRule>
    <cfRule type="expression" dxfId="158" priority="8">
      <formula>$AO$221=2</formula>
    </cfRule>
  </conditionalFormatting>
  <conditionalFormatting sqref="Y223 AC223">
    <cfRule type="expression" dxfId="157" priority="12">
      <formula>$AO$223=2</formula>
    </cfRule>
    <cfRule type="cellIs" priority="11" stopIfTrue="1" operator="greaterThan">
      <formula>0</formula>
    </cfRule>
  </conditionalFormatting>
  <conditionalFormatting sqref="Y78:AA78">
    <cfRule type="expression" priority="86" stopIfTrue="1">
      <formula>$AM$79=2</formula>
    </cfRule>
    <cfRule type="expression" dxfId="156" priority="87">
      <formula>$AM$78=1</formula>
    </cfRule>
  </conditionalFormatting>
  <conditionalFormatting sqref="Y78:AA79 AH79:AJ79">
    <cfRule type="cellIs" priority="82" stopIfTrue="1" operator="greaterThan">
      <formula>0</formula>
    </cfRule>
  </conditionalFormatting>
  <conditionalFormatting sqref="Y79:AA79 AH79:AJ79">
    <cfRule type="expression" priority="83" stopIfTrue="1">
      <formula>$AM$78=2</formula>
    </cfRule>
    <cfRule type="expression" dxfId="155" priority="84">
      <formula>$AM$79=1</formula>
    </cfRule>
  </conditionalFormatting>
  <conditionalFormatting sqref="Y31:AB31 Y32:AA32 AH32:AJ32">
    <cfRule type="expression" priority="123" stopIfTrue="1">
      <formula>$AM$29=2</formula>
    </cfRule>
    <cfRule type="cellIs" priority="124" stopIfTrue="1" operator="greaterThan">
      <formula>0</formula>
    </cfRule>
    <cfRule type="expression" dxfId="154" priority="125">
      <formula>$AM$23=2</formula>
    </cfRule>
  </conditionalFormatting>
  <conditionalFormatting sqref="Y100:AB100 AH100:AK100 Y101:AA102 AH101:AJ102">
    <cfRule type="cellIs" priority="77" stopIfTrue="1" operator="greaterThan">
      <formula>0</formula>
    </cfRule>
    <cfRule type="expression" priority="76" stopIfTrue="1">
      <formula>$AQ$98=2</formula>
    </cfRule>
    <cfRule type="expression" dxfId="153" priority="78">
      <formula>$AP$98=2</formula>
    </cfRule>
  </conditionalFormatting>
  <conditionalFormatting sqref="Z38">
    <cfRule type="expression" dxfId="152" priority="29">
      <formula>$AM$34=2</formula>
    </cfRule>
    <cfRule type="expression" priority="28" stopIfTrue="1">
      <formula>$AM$36=2</formula>
    </cfRule>
    <cfRule type="cellIs" priority="27" stopIfTrue="1" operator="greaterThan">
      <formula>0</formula>
    </cfRule>
  </conditionalFormatting>
  <conditionalFormatting sqref="Z25:AB26 Z24:AC24 AG24:AI25">
    <cfRule type="cellIs" priority="130" stopIfTrue="1" operator="greaterThan">
      <formula>0</formula>
    </cfRule>
  </conditionalFormatting>
  <conditionalFormatting sqref="Z26:AB26">
    <cfRule type="expression" priority="129" stopIfTrue="1">
      <formula>$AM$27=2</formula>
    </cfRule>
  </conditionalFormatting>
  <conditionalFormatting sqref="Z27:AB27 AG27:AI27">
    <cfRule type="expression" priority="126" stopIfTrue="1">
      <formula>$AM$26=2</formula>
    </cfRule>
    <cfRule type="expression" dxfId="151" priority="128">
      <formula>$AM$23=2</formula>
    </cfRule>
    <cfRule type="cellIs" priority="127" stopIfTrue="1" operator="greaterThan">
      <formula>0</formula>
    </cfRule>
  </conditionalFormatting>
  <conditionalFormatting sqref="Z24:AC24 AG24:AI25 Z25:AB26">
    <cfRule type="expression" dxfId="150" priority="131">
      <formula>$AM$23=2</formula>
    </cfRule>
  </conditionalFormatting>
  <conditionalFormatting sqref="Z40:AK40">
    <cfRule type="expression" dxfId="149" priority="114">
      <formula>$AM$40=2</formula>
    </cfRule>
    <cfRule type="cellIs" priority="113" stopIfTrue="1" operator="greaterThan">
      <formula>0</formula>
    </cfRule>
  </conditionalFormatting>
  <conditionalFormatting sqref="AA84 AD84 AI84">
    <cfRule type="expression" dxfId="148" priority="1015">
      <formula>$AM$84=2</formula>
    </cfRule>
  </conditionalFormatting>
  <conditionalFormatting sqref="AA85 AI85">
    <cfRule type="expression" dxfId="147" priority="1019">
      <formula>$AM$85=2</formula>
    </cfRule>
  </conditionalFormatting>
  <conditionalFormatting sqref="AA88 AI88">
    <cfRule type="expression" dxfId="146" priority="1023">
      <formula>$AM$88=2</formula>
    </cfRule>
  </conditionalFormatting>
  <conditionalFormatting sqref="AA88:AA89 AI88:AI89">
    <cfRule type="cellIs" priority="1022" stopIfTrue="1" operator="greaterThan">
      <formula>0</formula>
    </cfRule>
  </conditionalFormatting>
  <conditionalFormatting sqref="AA89 AI89">
    <cfRule type="expression" dxfId="145" priority="1027">
      <formula>$AM$89=2</formula>
    </cfRule>
  </conditionalFormatting>
  <conditionalFormatting sqref="AA91 AI91">
    <cfRule type="expression" dxfId="144" priority="1031">
      <formula>$AM$91=2</formula>
    </cfRule>
  </conditionalFormatting>
  <conditionalFormatting sqref="AA91:AA94 AI91:AI94">
    <cfRule type="cellIs" priority="1030" stopIfTrue="1" operator="greaterThan">
      <formula>0</formula>
    </cfRule>
  </conditionalFormatting>
  <conditionalFormatting sqref="AA92 AI92">
    <cfRule type="expression" dxfId="143" priority="1035">
      <formula>$AM$92=2</formula>
    </cfRule>
  </conditionalFormatting>
  <conditionalFormatting sqref="AA93 AI93">
    <cfRule type="expression" dxfId="142" priority="1039">
      <formula>$AM$93=2</formula>
    </cfRule>
  </conditionalFormatting>
  <conditionalFormatting sqref="AA94 AI94">
    <cfRule type="expression" dxfId="141" priority="1043">
      <formula>$AM$94=2</formula>
    </cfRule>
  </conditionalFormatting>
  <conditionalFormatting sqref="AA98 AE98">
    <cfRule type="expression" dxfId="140" priority="81">
      <formula>$AO$98=1</formula>
    </cfRule>
    <cfRule type="cellIs" priority="80" stopIfTrue="1" operator="greaterThan">
      <formula>0</formula>
    </cfRule>
  </conditionalFormatting>
  <conditionalFormatting sqref="AA118 AG118">
    <cfRule type="expression" dxfId="139" priority="1049">
      <formula>$AO$118=2</formula>
    </cfRule>
  </conditionalFormatting>
  <conditionalFormatting sqref="AA118">
    <cfRule type="expression" priority="172" stopIfTrue="1">
      <formula>$AM$118=1</formula>
    </cfRule>
  </conditionalFormatting>
  <conditionalFormatting sqref="AA119 AG119">
    <cfRule type="expression" dxfId="138" priority="1053">
      <formula>$AO$119=2</formula>
    </cfRule>
  </conditionalFormatting>
  <conditionalFormatting sqref="AA120 AG120">
    <cfRule type="expression" dxfId="137" priority="1057">
      <formula>$AO$120=2</formula>
    </cfRule>
  </conditionalFormatting>
  <conditionalFormatting sqref="AA121 AG121">
    <cfRule type="expression" dxfId="136" priority="1061">
      <formula>$AO$121=2</formula>
    </cfRule>
  </conditionalFormatting>
  <conditionalFormatting sqref="AA122 AG122">
    <cfRule type="expression" dxfId="135" priority="1065">
      <formula>$AO$122=2</formula>
    </cfRule>
  </conditionalFormatting>
  <conditionalFormatting sqref="AA123 AG123">
    <cfRule type="expression" dxfId="134" priority="1069">
      <formula>$AO$123=2</formula>
    </cfRule>
  </conditionalFormatting>
  <conditionalFormatting sqref="AA124 AG124">
    <cfRule type="expression" dxfId="133" priority="1073">
      <formula>$AO$124=2</formula>
    </cfRule>
  </conditionalFormatting>
  <conditionalFormatting sqref="AA125 AG125">
    <cfRule type="expression" dxfId="132" priority="1077">
      <formula>$AO$125=2</formula>
    </cfRule>
  </conditionalFormatting>
  <conditionalFormatting sqref="AA126 AG126">
    <cfRule type="expression" dxfId="131" priority="1081">
      <formula>$AO$126=2</formula>
    </cfRule>
  </conditionalFormatting>
  <conditionalFormatting sqref="AA127 AG127">
    <cfRule type="expression" dxfId="130" priority="1085">
      <formula>$AO$127=2</formula>
    </cfRule>
  </conditionalFormatting>
  <conditionalFormatting sqref="AA128 AG128">
    <cfRule type="expression" dxfId="129" priority="1089">
      <formula>$AO$128=2</formula>
    </cfRule>
  </conditionalFormatting>
  <conditionalFormatting sqref="AA129 AG129">
    <cfRule type="expression" dxfId="128" priority="1093">
      <formula>$AO$129=2</formula>
    </cfRule>
  </conditionalFormatting>
  <conditionalFormatting sqref="AA130 AG130">
    <cfRule type="expression" dxfId="127" priority="1097">
      <formula>$AO$130=2</formula>
    </cfRule>
  </conditionalFormatting>
  <conditionalFormatting sqref="AA131 AG131">
    <cfRule type="expression" dxfId="126" priority="1101">
      <formula>$AO$131=2</formula>
    </cfRule>
  </conditionalFormatting>
  <conditionalFormatting sqref="AA132 AG132">
    <cfRule type="expression" dxfId="125" priority="1105">
      <formula>$AO$132=2</formula>
    </cfRule>
  </conditionalFormatting>
  <conditionalFormatting sqref="AA133 AG133">
    <cfRule type="expression" dxfId="124" priority="1109">
      <formula>$AO$133=2</formula>
    </cfRule>
  </conditionalFormatting>
  <conditionalFormatting sqref="AA134 AG134">
    <cfRule type="expression" dxfId="123" priority="1113">
      <formula>$AO$134=2</formula>
    </cfRule>
  </conditionalFormatting>
  <conditionalFormatting sqref="AA135 AG135">
    <cfRule type="expression" dxfId="122" priority="1117">
      <formula>$AO$135=2</formula>
    </cfRule>
  </conditionalFormatting>
  <conditionalFormatting sqref="AA136 AG136">
    <cfRule type="expression" dxfId="121" priority="1121">
      <formula>$AO$136=2</formula>
    </cfRule>
  </conditionalFormatting>
  <conditionalFormatting sqref="AA137 AG137">
    <cfRule type="expression" dxfId="120" priority="1125">
      <formula>$AO$137=2</formula>
    </cfRule>
  </conditionalFormatting>
  <conditionalFormatting sqref="AA90:AC90 AI90:AK90">
    <cfRule type="expression" dxfId="119" priority="1047">
      <formula>$AM$90=2</formula>
    </cfRule>
    <cfRule type="cellIs" priority="1046" stopIfTrue="1" operator="greaterThan">
      <formula>0</formula>
    </cfRule>
  </conditionalFormatting>
  <conditionalFormatting sqref="AB47:AD51 AG47:AI51 AB53:AD56 AG53:AG56 AE57:AG57">
    <cfRule type="cellIs" priority="101" stopIfTrue="1" operator="greaterThan">
      <formula>0</formula>
    </cfRule>
    <cfRule type="expression" dxfId="118" priority="102">
      <formula>$AM$34=2</formula>
    </cfRule>
  </conditionalFormatting>
  <conditionalFormatting sqref="AC29">
    <cfRule type="expression" priority="120" stopIfTrue="1">
      <formula>$AM$32=2</formula>
    </cfRule>
    <cfRule type="expression" dxfId="117" priority="122">
      <formula>$AM$23=2</formula>
    </cfRule>
    <cfRule type="cellIs" priority="121" stopIfTrue="1" operator="greaterThan">
      <formula>0</formula>
    </cfRule>
  </conditionalFormatting>
  <conditionalFormatting sqref="AC69">
    <cfRule type="expression" dxfId="116" priority="6">
      <formula>$AM$34=2</formula>
    </cfRule>
    <cfRule type="expression" priority="5" stopIfTrue="1">
      <formula>$AN$69=2</formula>
    </cfRule>
    <cfRule type="cellIs" priority="4" stopIfTrue="1" operator="greaterThan">
      <formula>0</formula>
    </cfRule>
  </conditionalFormatting>
  <conditionalFormatting sqref="AC72">
    <cfRule type="expression" dxfId="115" priority="1655">
      <formula>$AM$34=2</formula>
    </cfRule>
    <cfRule type="expression" priority="1654" stopIfTrue="1">
      <formula>$AM$73=2</formula>
    </cfRule>
    <cfRule type="cellIs" priority="1653" stopIfTrue="1" operator="greaterThan">
      <formula>0</formula>
    </cfRule>
  </conditionalFormatting>
  <conditionalFormatting sqref="AC142:AC147 AC149:AC154">
    <cfRule type="cellIs" dxfId="114" priority="1138" operator="greaterThan">
      <formula>$AP$145</formula>
    </cfRule>
  </conditionalFormatting>
  <conditionalFormatting sqref="AC196">
    <cfRule type="expression" dxfId="113" priority="25">
      <formula>ISBLANK(AC196)</formula>
    </cfRule>
  </conditionalFormatting>
  <conditionalFormatting sqref="AD84 AA84:AA85 AI84:AI85">
    <cfRule type="cellIs" priority="1014" stopIfTrue="1" operator="greaterThan">
      <formula>0</formula>
    </cfRule>
  </conditionalFormatting>
  <conditionalFormatting sqref="AD105:AD106">
    <cfRule type="expression" dxfId="112" priority="259">
      <formula>ISBLANK(AD105)</formula>
    </cfRule>
  </conditionalFormatting>
  <conditionalFormatting sqref="AD109">
    <cfRule type="expression" dxfId="111" priority="318">
      <formula>ISBLANK(AD109)</formula>
    </cfRule>
    <cfRule type="cellIs" dxfId="110" priority="319" operator="lessThan">
      <formula>$J109</formula>
    </cfRule>
  </conditionalFormatting>
  <conditionalFormatting sqref="AE58">
    <cfRule type="expression" priority="97" stopIfTrue="1">
      <formula>$AM$34=1</formula>
    </cfRule>
    <cfRule type="cellIs" dxfId="109" priority="98" operator="equal">
      <formula>0</formula>
    </cfRule>
  </conditionalFormatting>
  <conditionalFormatting sqref="AE175:AI175">
    <cfRule type="expression" dxfId="108" priority="177">
      <formula>ISBLANK(AE175)</formula>
    </cfRule>
  </conditionalFormatting>
  <conditionalFormatting sqref="AF14:AF15">
    <cfRule type="expression" dxfId="107" priority="68">
      <formula>ISBLANK(AF14)</formula>
    </cfRule>
  </conditionalFormatting>
  <conditionalFormatting sqref="AF14:AK14">
    <cfRule type="expression" priority="67" stopIfTrue="1">
      <formula>$AM$14=0</formula>
    </cfRule>
  </conditionalFormatting>
  <conditionalFormatting sqref="AG118">
    <cfRule type="expression" priority="218" stopIfTrue="1">
      <formula>$AN$118=1</formula>
    </cfRule>
  </conditionalFormatting>
  <conditionalFormatting sqref="AG118:AG137 AA118:AA137">
    <cfRule type="cellIs" priority="1048" stopIfTrue="1" operator="greaterThan">
      <formula>0</formula>
    </cfRule>
  </conditionalFormatting>
  <conditionalFormatting sqref="AG23:AJ23">
    <cfRule type="expression" dxfId="106" priority="133">
      <formula>$AM$23=2</formula>
    </cfRule>
    <cfRule type="cellIs" priority="132" stopIfTrue="1" operator="greaterThan">
      <formula>0</formula>
    </cfRule>
  </conditionalFormatting>
  <conditionalFormatting sqref="AG36:AK36">
    <cfRule type="cellIs" priority="115" stopIfTrue="1" operator="greaterThan">
      <formula>0</formula>
    </cfRule>
    <cfRule type="expression" dxfId="105" priority="116">
      <formula>$AM$34=2</formula>
    </cfRule>
  </conditionalFormatting>
  <conditionalFormatting sqref="AG42:AK42">
    <cfRule type="expression" dxfId="104" priority="109">
      <formula>$AN$42=2</formula>
    </cfRule>
    <cfRule type="cellIs" priority="108" stopIfTrue="1" operator="greaterThan">
      <formula>0</formula>
    </cfRule>
  </conditionalFormatting>
  <conditionalFormatting sqref="AG44:AK44">
    <cfRule type="expression" dxfId="103" priority="104">
      <formula>$AN$44=2</formula>
    </cfRule>
    <cfRule type="cellIs" priority="103" stopIfTrue="1" operator="greaterThan">
      <formula>0</formula>
    </cfRule>
  </conditionalFormatting>
  <conditionalFormatting sqref="AG61:AK62">
    <cfRule type="cellIs" dxfId="102" priority="154" operator="equal">
      <formula>0</formula>
    </cfRule>
  </conditionalFormatting>
  <conditionalFormatting sqref="AG112:AK113">
    <cfRule type="cellIs" dxfId="101" priority="153" operator="equal">
      <formula>0</formula>
    </cfRule>
  </conditionalFormatting>
  <conditionalFormatting sqref="AG158:AK159">
    <cfRule type="cellIs" dxfId="100" priority="142" operator="equal">
      <formula>0</formula>
    </cfRule>
  </conditionalFormatting>
  <conditionalFormatting sqref="AG204:AK205">
    <cfRule type="cellIs" dxfId="99" priority="73" operator="equal">
      <formula>0</formula>
    </cfRule>
  </conditionalFormatting>
  <conditionalFormatting sqref="AH77">
    <cfRule type="expression" dxfId="98" priority="241">
      <formula>ISBLANK(AH77)</formula>
    </cfRule>
  </conditionalFormatting>
  <conditionalFormatting sqref="AH142:AH147 AH149:AH154">
    <cfRule type="cellIs" dxfId="97" priority="325" operator="greaterThan">
      <formula>$I142</formula>
    </cfRule>
    <cfRule type="expression" dxfId="96" priority="324" stopIfTrue="1">
      <formula>ISBLANK(AH142)</formula>
    </cfRule>
  </conditionalFormatting>
  <conditionalFormatting sqref="AI69 Z70 AH70">
    <cfRule type="expression" dxfId="95" priority="96">
      <formula>$AM$34=2</formula>
    </cfRule>
    <cfRule type="expression" priority="95" stopIfTrue="1">
      <formula>$AM$69=2</formula>
    </cfRule>
    <cfRule type="cellIs" priority="94" stopIfTrue="1" operator="greaterThan">
      <formula>0</formula>
    </cfRule>
  </conditionalFormatting>
  <conditionalFormatting sqref="AI72:AI73 Z73">
    <cfRule type="cellIs" priority="88" stopIfTrue="1" operator="greaterThan">
      <formula>0</formula>
    </cfRule>
    <cfRule type="expression" priority="89" stopIfTrue="1">
      <formula>$AM$72=2</formula>
    </cfRule>
    <cfRule type="expression" dxfId="94" priority="90">
      <formula>$AM$34=2</formula>
    </cfRule>
  </conditionalFormatting>
  <dataValidations count="2">
    <dataValidation type="list" allowBlank="1" showInputMessage="1" showErrorMessage="1" sqref="AH100:AK100 AG24:AI24 AH77:AK77 W84:Y85 W88:Y94" xr:uid="{724CB3B4-1DEF-4419-A255-33C7CE50E61F}">
      <formula1>Shape</formula1>
    </dataValidation>
    <dataValidation type="list" allowBlank="1" showInputMessage="1" showErrorMessage="1" sqref="Z24:AC24 Y31:AB31 Z70:AC70 Z73:AC73 Y77:AB77 Y100:AB100" xr:uid="{F21227C0-CA23-4C9C-97B1-1AF25B7CE2F3}">
      <formula1>Material</formula1>
    </dataValidation>
  </dataValidations>
  <pageMargins left="0.2" right="0.2" top="0.5" bottom="0.25" header="0.3" footer="0.3"/>
  <pageSetup orientation="portrait" r:id="rId1"/>
  <rowBreaks count="4" manualBreakCount="4">
    <brk id="60" max="16383" man="1"/>
    <brk id="111" max="16383" man="1"/>
    <brk id="157" max="16383" man="1"/>
    <brk id="203" max="16383" man="1"/>
  </rowBreaks>
  <colBreaks count="1" manualBreakCount="1">
    <brk id="43" max="1048575" man="1"/>
  </colBreaks>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r:uid="{51C0DC14-5C5B-497E-ADE8-E14CEC9C6FC0}">
          <x14:formula1>
            <xm:f>Tables!$A$2:$A$10</xm:f>
          </x14:formula1>
          <xm:sqref>E77</xm:sqref>
        </x14:dataValidation>
        <x14:dataValidation type="list" allowBlank="1" showInputMessage="1" showErrorMessage="1" xr:uid="{15328467-34E1-4429-BBED-E9EF3D4805F6}">
          <x14:formula1>
            <xm:f>Tables!$C$2:$C$7</xm:f>
          </x14:formula1>
          <xm:sqref>H95 W86:Y86 W95:Y95 H64 G68 H61:H62 W61:Y62 AB64 AA68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F98B-18B5-4DD5-8DB3-BDC039F49AE3}">
  <sheetPr codeName="Sheet1">
    <tabColor theme="7" tint="0.39997558519241921"/>
  </sheetPr>
  <dimension ref="A1:DK169"/>
  <sheetViews>
    <sheetView showGridLines="0" showRowColHeaders="0" showZeros="0" zoomScale="150" zoomScaleNormal="150" workbookViewId="0">
      <selection activeCell="E15" sqref="E15:Y15"/>
    </sheetView>
  </sheetViews>
  <sheetFormatPr defaultColWidth="0" defaultRowHeight="0" customHeight="1" zeroHeight="1" x14ac:dyDescent="0.3"/>
  <cols>
    <col min="1" max="1" width="1.77734375" style="40" customWidth="1"/>
    <col min="2" max="36" width="2.77734375" style="40" customWidth="1"/>
    <col min="37" max="37" width="1.77734375" style="40" customWidth="1"/>
    <col min="38" max="38" width="4.77734375" style="40" customWidth="1"/>
    <col min="39" max="44" width="4.77734375" style="24" hidden="1" customWidth="1"/>
    <col min="45" max="78" width="2.77734375" style="40" customWidth="1"/>
    <col min="79" max="79" width="8.88671875" style="40" hidden="1" customWidth="1"/>
    <col min="80" max="115" width="0" style="40" hidden="1" customWidth="1"/>
    <col min="116" max="16384" width="8.88671875" style="40" hidden="1"/>
  </cols>
  <sheetData>
    <row r="1" spans="1:78" ht="15" customHeight="1" x14ac:dyDescent="0.3">
      <c r="G1" s="3"/>
      <c r="H1" s="3"/>
      <c r="I1" s="3"/>
      <c r="J1" s="3"/>
      <c r="K1" s="3"/>
      <c r="L1" s="3"/>
      <c r="M1" s="3"/>
      <c r="N1" s="3"/>
      <c r="O1" s="3"/>
      <c r="P1" s="3"/>
      <c r="Q1" s="219" t="s">
        <v>224</v>
      </c>
      <c r="R1" s="219"/>
      <c r="S1" s="219"/>
      <c r="T1" s="219"/>
      <c r="U1" s="219"/>
      <c r="V1" s="219"/>
      <c r="W1" s="219"/>
      <c r="X1" s="219"/>
      <c r="Y1" s="219"/>
      <c r="Z1" s="219"/>
      <c r="AA1" s="219"/>
      <c r="AB1" s="219"/>
      <c r="AC1" s="219"/>
      <c r="AD1" s="219"/>
      <c r="AE1" s="219"/>
      <c r="AF1" s="219"/>
      <c r="AG1" s="219"/>
      <c r="AH1" s="219"/>
      <c r="AI1" s="219"/>
      <c r="AJ1" s="219"/>
      <c r="AK1" s="219"/>
      <c r="BF1" s="219" t="str">
        <f>Q1</f>
        <v>Form 4C - Underground Detention
Annual Inspection Form</v>
      </c>
      <c r="BG1" s="219"/>
      <c r="BH1" s="219"/>
      <c r="BI1" s="219"/>
      <c r="BJ1" s="219"/>
      <c r="BK1" s="219"/>
      <c r="BL1" s="219"/>
      <c r="BM1" s="219"/>
      <c r="BN1" s="219"/>
      <c r="BO1" s="219"/>
      <c r="BP1" s="219"/>
      <c r="BQ1" s="219"/>
      <c r="BR1" s="219"/>
      <c r="BS1" s="219"/>
      <c r="BT1" s="219"/>
      <c r="BU1" s="219"/>
      <c r="BV1" s="219"/>
      <c r="BW1" s="219"/>
      <c r="BX1" s="219"/>
      <c r="BY1" s="219"/>
    </row>
    <row r="2" spans="1:78" ht="15" customHeight="1" x14ac:dyDescent="0.3">
      <c r="E2" s="3"/>
      <c r="F2" s="3"/>
      <c r="G2" s="3"/>
      <c r="H2" s="3"/>
      <c r="I2" s="3"/>
      <c r="J2" s="3"/>
      <c r="K2" s="3"/>
      <c r="L2" s="3"/>
      <c r="M2" s="3"/>
      <c r="N2" s="3"/>
      <c r="O2" s="3"/>
      <c r="P2" s="3"/>
      <c r="Q2" s="219"/>
      <c r="R2" s="219"/>
      <c r="S2" s="219"/>
      <c r="T2" s="219"/>
      <c r="U2" s="219"/>
      <c r="V2" s="219"/>
      <c r="W2" s="219"/>
      <c r="X2" s="219"/>
      <c r="Y2" s="219"/>
      <c r="Z2" s="219"/>
      <c r="AA2" s="219"/>
      <c r="AB2" s="219"/>
      <c r="AC2" s="219"/>
      <c r="AD2" s="219"/>
      <c r="AE2" s="219"/>
      <c r="AF2" s="219"/>
      <c r="AG2" s="219"/>
      <c r="AH2" s="219"/>
      <c r="AI2" s="219"/>
      <c r="AJ2" s="219"/>
      <c r="AK2" s="219"/>
      <c r="BF2" s="219"/>
      <c r="BG2" s="219"/>
      <c r="BH2" s="219"/>
      <c r="BI2" s="219"/>
      <c r="BJ2" s="219"/>
      <c r="BK2" s="219"/>
      <c r="BL2" s="219"/>
      <c r="BM2" s="219"/>
      <c r="BN2" s="219"/>
      <c r="BO2" s="219"/>
      <c r="BP2" s="219"/>
      <c r="BQ2" s="219"/>
      <c r="BR2" s="219"/>
      <c r="BS2" s="219"/>
      <c r="BT2" s="219"/>
      <c r="BU2" s="219"/>
      <c r="BV2" s="219"/>
      <c r="BW2" s="219"/>
      <c r="BX2" s="219"/>
      <c r="BY2" s="219"/>
    </row>
    <row r="3" spans="1:78" ht="15" customHeight="1" x14ac:dyDescent="0.3">
      <c r="E3" s="3"/>
      <c r="F3" s="3"/>
      <c r="G3" s="3"/>
      <c r="H3" s="3"/>
      <c r="I3" s="3"/>
      <c r="J3" s="3"/>
      <c r="K3" s="3"/>
      <c r="L3" s="3"/>
      <c r="M3" s="3"/>
      <c r="N3" s="3"/>
      <c r="O3" s="3"/>
      <c r="P3" s="3"/>
      <c r="Q3" s="219"/>
      <c r="R3" s="219"/>
      <c r="S3" s="219"/>
      <c r="T3" s="219"/>
      <c r="U3" s="219"/>
      <c r="V3" s="219"/>
      <c r="W3" s="219"/>
      <c r="X3" s="219"/>
      <c r="Y3" s="219"/>
      <c r="Z3" s="219"/>
      <c r="AA3" s="219"/>
      <c r="AB3" s="219"/>
      <c r="AC3" s="219"/>
      <c r="AD3" s="219"/>
      <c r="AE3" s="219"/>
      <c r="AF3" s="219"/>
      <c r="AG3" s="219"/>
      <c r="AH3" s="219"/>
      <c r="AI3" s="219"/>
      <c r="AJ3" s="219"/>
      <c r="AK3" s="219"/>
      <c r="BF3" s="219"/>
      <c r="BG3" s="219"/>
      <c r="BH3" s="219"/>
      <c r="BI3" s="219"/>
      <c r="BJ3" s="219"/>
      <c r="BK3" s="219"/>
      <c r="BL3" s="219"/>
      <c r="BM3" s="219"/>
      <c r="BN3" s="219"/>
      <c r="BO3" s="219"/>
      <c r="BP3" s="219"/>
      <c r="BQ3" s="219"/>
      <c r="BR3" s="219"/>
      <c r="BS3" s="219"/>
      <c r="BT3" s="219"/>
      <c r="BU3" s="219"/>
      <c r="BV3" s="219"/>
      <c r="BW3" s="219"/>
      <c r="BX3" s="219"/>
      <c r="BY3" s="219"/>
    </row>
    <row r="4" spans="1:78" ht="15" customHeight="1" x14ac:dyDescent="0.3">
      <c r="E4" s="3"/>
      <c r="F4" s="3"/>
      <c r="G4" s="3"/>
      <c r="H4" s="3"/>
      <c r="I4" s="3"/>
      <c r="J4" s="3"/>
      <c r="K4" s="3"/>
      <c r="L4" s="3"/>
      <c r="M4" s="3"/>
      <c r="N4" s="3"/>
      <c r="O4" s="3"/>
      <c r="P4" s="3"/>
      <c r="Q4" s="219"/>
      <c r="R4" s="219"/>
      <c r="S4" s="219"/>
      <c r="T4" s="219"/>
      <c r="U4" s="219"/>
      <c r="V4" s="219"/>
      <c r="W4" s="219"/>
      <c r="X4" s="219"/>
      <c r="Y4" s="219"/>
      <c r="Z4" s="219"/>
      <c r="AA4" s="219"/>
      <c r="AB4" s="219"/>
      <c r="AC4" s="219"/>
      <c r="AD4" s="219"/>
      <c r="AE4" s="219"/>
      <c r="AF4" s="219"/>
      <c r="AG4" s="219"/>
      <c r="AH4" s="219"/>
      <c r="AI4" s="219"/>
      <c r="AJ4" s="219"/>
      <c r="AK4" s="219"/>
      <c r="BF4" s="219"/>
      <c r="BG4" s="219"/>
      <c r="BH4" s="219"/>
      <c r="BI4" s="219"/>
      <c r="BJ4" s="219"/>
      <c r="BK4" s="219"/>
      <c r="BL4" s="219"/>
      <c r="BM4" s="219"/>
      <c r="BN4" s="219"/>
      <c r="BO4" s="219"/>
      <c r="BP4" s="219"/>
      <c r="BQ4" s="219"/>
      <c r="BR4" s="219"/>
      <c r="BS4" s="219"/>
      <c r="BT4" s="219"/>
      <c r="BU4" s="219"/>
      <c r="BV4" s="219"/>
      <c r="BW4" s="219"/>
      <c r="BX4" s="219"/>
      <c r="BY4" s="219"/>
    </row>
    <row r="5" spans="1:78" ht="4.95" customHeight="1" x14ac:dyDescent="0.3">
      <c r="E5" s="3"/>
      <c r="F5" s="3"/>
      <c r="G5" s="3"/>
      <c r="H5" s="3"/>
      <c r="I5" s="3"/>
      <c r="J5" s="3"/>
      <c r="K5" s="3"/>
      <c r="L5" s="3"/>
      <c r="M5" s="3"/>
      <c r="N5" s="3"/>
      <c r="O5" s="3"/>
      <c r="P5" s="3"/>
      <c r="Q5" s="3"/>
      <c r="R5" s="3"/>
      <c r="S5" s="3"/>
      <c r="T5" s="3"/>
      <c r="U5" s="3"/>
      <c r="V5" s="3"/>
      <c r="W5" s="3"/>
      <c r="X5" s="3"/>
      <c r="Y5" s="3"/>
      <c r="Z5" s="3"/>
      <c r="AA5" s="3"/>
      <c r="AB5" s="27"/>
      <c r="AC5" s="27"/>
      <c r="AD5" s="27"/>
      <c r="AE5" s="27"/>
      <c r="AF5" s="27"/>
      <c r="AG5" s="27"/>
      <c r="AH5" s="27"/>
      <c r="AI5" s="27"/>
      <c r="AJ5" s="27"/>
    </row>
    <row r="6" spans="1:78" ht="15" customHeight="1" x14ac:dyDescent="0.3">
      <c r="A6" s="28"/>
      <c r="B6" s="29" t="s">
        <v>123</v>
      </c>
      <c r="C6" s="29"/>
      <c r="D6" s="29"/>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1"/>
      <c r="AS6" s="220" t="s">
        <v>74</v>
      </c>
      <c r="AT6" s="220"/>
      <c r="AU6" s="220"/>
      <c r="AV6" s="220"/>
      <c r="AW6" s="220"/>
      <c r="AX6" s="220"/>
      <c r="AY6" s="220"/>
      <c r="AZ6" s="220"/>
      <c r="BA6" s="220"/>
      <c r="BB6" s="220"/>
      <c r="BC6" s="220"/>
      <c r="BD6" s="220"/>
      <c r="BE6" s="220"/>
      <c r="BF6" s="220"/>
      <c r="BG6" s="220"/>
      <c r="BH6" s="83"/>
      <c r="BI6" s="83"/>
      <c r="BJ6" s="83"/>
      <c r="BK6" s="83"/>
      <c r="BL6" s="83"/>
      <c r="BM6" s="83"/>
      <c r="BN6" s="83"/>
      <c r="BO6" s="83"/>
      <c r="BP6" s="83"/>
      <c r="BQ6" s="83"/>
      <c r="BR6" s="83"/>
      <c r="BS6" s="83"/>
      <c r="BT6" s="83"/>
      <c r="BU6" s="83"/>
      <c r="BV6" s="83"/>
      <c r="BW6" s="83"/>
      <c r="BX6" s="83"/>
      <c r="BY6" s="83"/>
      <c r="BZ6" s="83"/>
    </row>
    <row r="7" spans="1:78" ht="15" customHeight="1" x14ac:dyDescent="0.3">
      <c r="A7" s="32"/>
      <c r="B7" s="12" t="s">
        <v>65</v>
      </c>
      <c r="C7" s="12"/>
      <c r="D7" s="12"/>
      <c r="E7" s="274"/>
      <c r="F7" s="274"/>
      <c r="G7" s="274"/>
      <c r="H7" s="274"/>
      <c r="I7" s="274"/>
      <c r="J7" s="274"/>
      <c r="K7" s="274"/>
      <c r="L7" s="274"/>
      <c r="M7" s="274"/>
      <c r="N7" s="274"/>
      <c r="O7" s="274"/>
      <c r="P7" s="274"/>
      <c r="Q7" s="274"/>
      <c r="R7" s="274"/>
      <c r="S7" s="274"/>
      <c r="T7" s="274"/>
      <c r="U7" s="274"/>
      <c r="V7" s="274"/>
      <c r="W7" s="274"/>
      <c r="X7" s="274"/>
      <c r="Y7" s="12"/>
      <c r="Z7" s="12"/>
      <c r="AA7" s="12"/>
      <c r="AB7" s="12"/>
      <c r="AC7" s="12"/>
      <c r="AD7" s="33" t="s">
        <v>21</v>
      </c>
      <c r="AE7" s="275"/>
      <c r="AF7" s="275"/>
      <c r="AG7" s="275"/>
      <c r="AH7" s="275"/>
      <c r="AI7" s="275"/>
      <c r="AJ7" s="275"/>
      <c r="AK7" s="34"/>
      <c r="AS7" s="220"/>
      <c r="AT7" s="220"/>
      <c r="AU7" s="220"/>
      <c r="AV7" s="220"/>
      <c r="AW7" s="220"/>
      <c r="AX7" s="220"/>
      <c r="AY7" s="220"/>
      <c r="AZ7" s="220"/>
      <c r="BA7" s="220"/>
      <c r="BB7" s="220"/>
      <c r="BC7" s="220"/>
      <c r="BD7" s="220"/>
      <c r="BE7" s="220"/>
      <c r="BF7" s="220"/>
      <c r="BG7" s="220"/>
    </row>
    <row r="8" spans="1:78" ht="4.95" customHeight="1" x14ac:dyDescent="0.3">
      <c r="A8" s="3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33"/>
      <c r="AG8" s="14"/>
      <c r="AH8" s="14"/>
      <c r="AI8" s="14"/>
      <c r="AJ8" s="14"/>
      <c r="AK8" s="34"/>
    </row>
    <row r="9" spans="1:78" ht="15" customHeight="1" x14ac:dyDescent="0.3">
      <c r="A9" s="32"/>
      <c r="B9" s="12" t="s">
        <v>22</v>
      </c>
      <c r="C9" s="12"/>
      <c r="D9" s="12"/>
      <c r="E9" s="12"/>
      <c r="F9" s="12"/>
      <c r="G9" s="105"/>
      <c r="H9" s="12" t="s">
        <v>132</v>
      </c>
      <c r="I9" s="12"/>
      <c r="J9" s="12"/>
      <c r="K9" s="12"/>
      <c r="L9" s="12"/>
      <c r="M9" s="105"/>
      <c r="N9" s="12" t="s">
        <v>133</v>
      </c>
      <c r="O9" s="12"/>
      <c r="P9" s="12"/>
      <c r="Q9" s="12"/>
      <c r="R9" s="12"/>
      <c r="S9" s="12"/>
      <c r="T9" s="12"/>
      <c r="U9" s="12"/>
      <c r="V9" s="105"/>
      <c r="W9" s="12" t="s">
        <v>134</v>
      </c>
      <c r="X9" s="12"/>
      <c r="Y9" s="12"/>
      <c r="Z9" s="12"/>
      <c r="AA9" s="12"/>
      <c r="AB9" s="12"/>
      <c r="AC9" s="105"/>
      <c r="AD9" s="12" t="s">
        <v>135</v>
      </c>
      <c r="AE9" s="12"/>
      <c r="AF9" s="12"/>
      <c r="AG9" s="12"/>
      <c r="AH9" s="12"/>
      <c r="AI9" s="12"/>
      <c r="AJ9" s="12"/>
      <c r="AK9" s="34"/>
      <c r="AS9" s="97" t="s">
        <v>332</v>
      </c>
      <c r="AT9" s="97"/>
      <c r="AU9" s="97"/>
      <c r="AV9" s="97"/>
      <c r="AW9" s="9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ht="4.95" customHeight="1" x14ac:dyDescent="0.3">
      <c r="A10" s="3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34"/>
      <c r="AS10" s="97"/>
      <c r="AT10" s="97"/>
      <c r="AU10" s="97"/>
      <c r="AV10" s="97"/>
      <c r="AW10" s="9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ht="15" customHeight="1" x14ac:dyDescent="0.3">
      <c r="A11" s="32"/>
      <c r="B11" s="12" t="s">
        <v>23</v>
      </c>
      <c r="C11" s="12"/>
      <c r="D11" s="12"/>
      <c r="E11" s="12"/>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34"/>
      <c r="AS11" s="25">
        <v>1</v>
      </c>
      <c r="AT11" s="97" t="s">
        <v>288</v>
      </c>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ht="4.95" customHeight="1" x14ac:dyDescent="0.3">
      <c r="A12" s="38"/>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39"/>
      <c r="AS12" s="25"/>
      <c r="AT12" s="9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ht="4.95" customHeight="1" x14ac:dyDescent="0.3">
      <c r="AS13" s="25"/>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ht="15" customHeight="1" x14ac:dyDescent="0.3">
      <c r="B14" s="1" t="s">
        <v>191</v>
      </c>
      <c r="C14" s="1"/>
      <c r="D14" s="1"/>
      <c r="AD14" s="2" t="str">
        <f>IF(Tables!C25=0,"",Tables!C25&amp;": ")</f>
        <v/>
      </c>
      <c r="AE14" s="206"/>
      <c r="AF14" s="206"/>
      <c r="AG14" s="206"/>
      <c r="AH14" s="206"/>
      <c r="AI14" s="206"/>
      <c r="AJ14" s="206"/>
      <c r="AM14" s="128">
        <f>LEN(AD14)</f>
        <v>0</v>
      </c>
      <c r="AT14" s="124" t="s">
        <v>116</v>
      </c>
      <c r="AU14" s="40" t="s">
        <v>287</v>
      </c>
      <c r="AX14" s="108"/>
      <c r="AY14" s="108"/>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row>
    <row r="15" spans="1:78" ht="15" customHeight="1" x14ac:dyDescent="0.3">
      <c r="D15" s="2" t="s">
        <v>146</v>
      </c>
      <c r="E15" s="205"/>
      <c r="F15" s="205"/>
      <c r="G15" s="205"/>
      <c r="H15" s="205"/>
      <c r="I15" s="205"/>
      <c r="J15" s="205"/>
      <c r="K15" s="205"/>
      <c r="L15" s="205"/>
      <c r="M15" s="205"/>
      <c r="N15" s="205"/>
      <c r="O15" s="205"/>
      <c r="P15" s="205"/>
      <c r="Q15" s="205"/>
      <c r="R15" s="205"/>
      <c r="S15" s="205"/>
      <c r="T15" s="205"/>
      <c r="U15" s="205"/>
      <c r="V15" s="205"/>
      <c r="W15" s="205"/>
      <c r="X15" s="205"/>
      <c r="Y15" s="205"/>
      <c r="AD15" s="2" t="s">
        <v>192</v>
      </c>
      <c r="AE15" s="276"/>
      <c r="AF15" s="276"/>
      <c r="AG15" s="276"/>
      <c r="AH15" s="276"/>
      <c r="AI15" s="276"/>
      <c r="AJ15" s="276"/>
      <c r="AS15" s="25"/>
      <c r="AT15" s="124" t="s">
        <v>116</v>
      </c>
      <c r="AU15" s="108" t="s">
        <v>358</v>
      </c>
      <c r="AV15" s="108"/>
      <c r="AX15" s="108"/>
      <c r="AY15" s="108"/>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row>
    <row r="16" spans="1:78" ht="15" customHeight="1" x14ac:dyDescent="0.3">
      <c r="D16" s="2" t="s">
        <v>147</v>
      </c>
      <c r="E16" s="207"/>
      <c r="F16" s="207"/>
      <c r="G16" s="207"/>
      <c r="H16" s="207"/>
      <c r="I16" s="207"/>
      <c r="J16" s="207"/>
      <c r="K16" s="207"/>
      <c r="L16" s="207"/>
      <c r="M16" s="207"/>
      <c r="N16" s="207"/>
      <c r="O16" s="207"/>
      <c r="P16" s="207"/>
      <c r="Q16" s="207"/>
      <c r="R16" s="207"/>
      <c r="S16" s="207"/>
      <c r="T16" s="207"/>
      <c r="U16" s="207"/>
      <c r="V16" s="207"/>
      <c r="W16" s="207"/>
      <c r="X16" s="207"/>
      <c r="Y16" s="207"/>
      <c r="AB16" s="2"/>
      <c r="AD16" s="2" t="s">
        <v>193</v>
      </c>
      <c r="AE16" s="277"/>
      <c r="AF16" s="277"/>
      <c r="AG16" s="277"/>
      <c r="AH16" s="277"/>
      <c r="AI16" s="277"/>
      <c r="AJ16" s="277"/>
      <c r="AT16" s="124" t="s">
        <v>116</v>
      </c>
      <c r="AU16" s="108" t="s">
        <v>357</v>
      </c>
      <c r="AV16" s="108"/>
      <c r="AW16" s="108"/>
      <c r="AX16" s="108"/>
      <c r="AY16" s="108"/>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row>
    <row r="17" spans="2:78" ht="15" customHeight="1" x14ac:dyDescent="0.3">
      <c r="C17" s="13"/>
      <c r="D17" s="2" t="s">
        <v>431</v>
      </c>
      <c r="E17" s="207"/>
      <c r="F17" s="207"/>
      <c r="G17" s="207"/>
      <c r="H17" s="207"/>
      <c r="I17" s="207"/>
      <c r="J17" s="207"/>
      <c r="K17" s="85"/>
      <c r="L17" s="85"/>
      <c r="M17" s="139" t="s">
        <v>150</v>
      </c>
      <c r="N17" s="207"/>
      <c r="O17" s="207"/>
      <c r="P17" s="207"/>
      <c r="Q17" s="207"/>
      <c r="R17" s="85"/>
      <c r="S17" s="85"/>
      <c r="T17" s="85"/>
      <c r="U17" s="139" t="s">
        <v>151</v>
      </c>
      <c r="V17" s="209"/>
      <c r="W17" s="209"/>
      <c r="X17" s="209"/>
      <c r="Y17" s="209"/>
      <c r="Z17" s="13"/>
      <c r="AA17" s="13"/>
      <c r="AC17" s="13"/>
      <c r="AD17" s="2" t="s">
        <v>194</v>
      </c>
      <c r="AE17" s="273"/>
      <c r="AF17" s="273"/>
      <c r="AG17" s="273"/>
      <c r="AH17" s="273"/>
      <c r="AI17" s="273"/>
      <c r="AJ17" s="273"/>
      <c r="AS17" s="25">
        <v>2</v>
      </c>
      <c r="AT17" s="108" t="s">
        <v>474</v>
      </c>
      <c r="AU17" s="108"/>
      <c r="AV17" s="108"/>
      <c r="AW17" s="108"/>
      <c r="AX17" s="108"/>
      <c r="AY17" s="108"/>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row>
    <row r="18" spans="2:78" ht="15" customHeight="1" x14ac:dyDescent="0.3">
      <c r="C18" s="13"/>
      <c r="D18" s="2" t="s">
        <v>196</v>
      </c>
      <c r="E18" s="207"/>
      <c r="F18" s="207"/>
      <c r="G18" s="207"/>
      <c r="H18" s="207"/>
      <c r="I18" s="207"/>
      <c r="J18" s="207"/>
      <c r="K18" s="205"/>
      <c r="L18" s="205"/>
      <c r="M18" s="205"/>
      <c r="N18" s="207"/>
      <c r="O18" s="207"/>
      <c r="P18" s="207"/>
      <c r="Q18" s="207"/>
      <c r="R18" s="205"/>
      <c r="S18" s="205"/>
      <c r="T18" s="205"/>
      <c r="U18" s="205"/>
      <c r="V18" s="207"/>
      <c r="W18" s="207"/>
      <c r="X18" s="207"/>
      <c r="Y18" s="207"/>
      <c r="Z18" s="13"/>
      <c r="AA18" s="13"/>
      <c r="AC18" s="13"/>
      <c r="AD18" s="2" t="s">
        <v>195</v>
      </c>
      <c r="AE18" s="278"/>
      <c r="AF18" s="278"/>
      <c r="AG18" s="278"/>
      <c r="AH18" s="278"/>
      <c r="AI18" s="278"/>
      <c r="AJ18" s="278"/>
      <c r="AS18" s="25">
        <v>3</v>
      </c>
      <c r="AT18" s="108" t="s">
        <v>110</v>
      </c>
      <c r="AU18" s="108"/>
      <c r="AV18" s="108"/>
      <c r="AW18" s="108"/>
      <c r="AX18" s="108"/>
      <c r="AY18" s="108"/>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row>
    <row r="19" spans="2:78" ht="15" customHeight="1" x14ac:dyDescent="0.3">
      <c r="C19" s="13"/>
      <c r="D19" s="2" t="s">
        <v>148</v>
      </c>
      <c r="E19" s="225"/>
      <c r="F19" s="207"/>
      <c r="G19" s="207"/>
      <c r="H19" s="207"/>
      <c r="I19" s="207"/>
      <c r="J19" s="207"/>
      <c r="K19" s="207"/>
      <c r="L19" s="207"/>
      <c r="M19" s="207"/>
      <c r="N19" s="207"/>
      <c r="O19" s="207"/>
      <c r="P19" s="207"/>
      <c r="Q19" s="207"/>
      <c r="R19" s="207"/>
      <c r="S19" s="207"/>
      <c r="T19" s="207"/>
      <c r="U19" s="207"/>
      <c r="V19" s="207"/>
      <c r="W19" s="207"/>
      <c r="X19" s="207"/>
      <c r="Y19" s="207"/>
      <c r="Z19" s="13"/>
      <c r="AA19" s="13"/>
      <c r="AC19" s="13"/>
      <c r="AD19" s="2" t="s">
        <v>152</v>
      </c>
      <c r="AE19" s="279"/>
      <c r="AF19" s="279"/>
      <c r="AG19" s="279"/>
      <c r="AH19" s="279"/>
      <c r="AI19" s="279"/>
      <c r="AJ19" s="279"/>
      <c r="AS19" s="25"/>
      <c r="AT19" s="124" t="s">
        <v>116</v>
      </c>
      <c r="AU19" s="108" t="s">
        <v>104</v>
      </c>
      <c r="AV19" s="108"/>
      <c r="AW19" s="108"/>
      <c r="AX19" s="25"/>
      <c r="AY19" s="25"/>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row>
    <row r="20" spans="2:78" ht="4.95" customHeight="1" x14ac:dyDescent="0.3">
      <c r="AW20" s="108"/>
      <c r="AX20" s="25"/>
      <c r="AY20" s="25"/>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row>
    <row r="21" spans="2:78" ht="15" customHeight="1" x14ac:dyDescent="0.3">
      <c r="B21" s="40" t="s">
        <v>128</v>
      </c>
      <c r="C21" s="2"/>
      <c r="D21" s="2"/>
      <c r="G21" s="77"/>
      <c r="H21" s="40" t="s">
        <v>189</v>
      </c>
      <c r="M21" s="77"/>
      <c r="N21" s="40" t="s">
        <v>190</v>
      </c>
      <c r="AS21" s="25"/>
      <c r="AT21" s="124" t="s">
        <v>116</v>
      </c>
      <c r="AU21" s="108" t="s">
        <v>197</v>
      </c>
      <c r="AV21" s="25"/>
      <c r="AW21" s="25"/>
      <c r="AX21" s="125"/>
      <c r="AY21" s="125"/>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row>
    <row r="22" spans="2:78" ht="4.95" customHeight="1" x14ac:dyDescent="0.3">
      <c r="AS22" s="25"/>
      <c r="AT22" s="25"/>
      <c r="AU22" s="25"/>
      <c r="AV22" s="25"/>
      <c r="AW22" s="25"/>
      <c r="AX22" s="125"/>
      <c r="AY22" s="125"/>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row>
    <row r="23" spans="2:78" ht="15" customHeight="1" x14ac:dyDescent="0.3">
      <c r="B23" s="1" t="s">
        <v>198</v>
      </c>
      <c r="C23" s="2"/>
      <c r="D23" s="2"/>
      <c r="M23" s="77"/>
      <c r="N23" s="40" t="s">
        <v>393</v>
      </c>
      <c r="T23" s="77"/>
      <c r="U23" s="40" t="s">
        <v>231</v>
      </c>
      <c r="AM23" s="128">
        <f>IF(AND(ISBLANK(M23),ISBLANK(T23)),1,2)</f>
        <v>1</v>
      </c>
      <c r="AS23" s="25">
        <v>4</v>
      </c>
      <c r="AT23" s="108" t="str">
        <f>"Form 4C - Underground Detention Annual Inspection Form shall be submitted to the "&amp;Tables!$C$23&amp;" on an annual basis"</f>
        <v>Form 4C - Underground Detention Annual Inspection Form shall be submitted to the City on an annual basis</v>
      </c>
      <c r="AU23" s="108"/>
      <c r="AV23" s="125"/>
      <c r="AW23" s="125"/>
      <c r="AX23" s="125"/>
      <c r="AY23" s="125"/>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row>
    <row r="24" spans="2:78" ht="4.95" customHeight="1" x14ac:dyDescent="0.3">
      <c r="AS24" s="25"/>
      <c r="AT24" s="108"/>
      <c r="AU24" s="108"/>
      <c r="AV24" s="125"/>
      <c r="AW24" s="125"/>
      <c r="AX24" s="108"/>
      <c r="AY24" s="108"/>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row>
    <row r="25" spans="2:78" ht="15" customHeight="1" x14ac:dyDescent="0.3">
      <c r="B25" s="135">
        <v>1</v>
      </c>
      <c r="C25" s="103" t="s">
        <v>435</v>
      </c>
      <c r="M25" s="77"/>
      <c r="N25" s="40" t="s">
        <v>400</v>
      </c>
      <c r="U25" s="135">
        <v>2</v>
      </c>
      <c r="V25" s="103" t="s">
        <v>404</v>
      </c>
      <c r="AE25" s="77"/>
      <c r="AF25" s="40" t="s">
        <v>173</v>
      </c>
      <c r="AH25" s="40" t="s">
        <v>175</v>
      </c>
      <c r="AJ25" s="40" t="s">
        <v>155</v>
      </c>
      <c r="AM25" s="128">
        <f>IF(ISBLANK(M25),1,2)</f>
        <v>1</v>
      </c>
      <c r="AQ25" s="128">
        <f>IF(ISBLANK(AE25),1,2)</f>
        <v>1</v>
      </c>
      <c r="AS25" s="25"/>
      <c r="AT25" s="125" t="str">
        <f>"by "&amp;Tables!C27&amp;" of each year."</f>
        <v>by 1 September of each year.</v>
      </c>
      <c r="AU25" s="108"/>
      <c r="AV25" s="125"/>
      <c r="AW25" s="125"/>
      <c r="AX25" s="108"/>
      <c r="AY25" s="108"/>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row>
    <row r="26" spans="2:78" ht="4.95" customHeight="1" x14ac:dyDescent="0.3">
      <c r="AU26" s="108"/>
      <c r="AV26" s="108"/>
      <c r="AW26" s="108"/>
      <c r="AX26" s="108"/>
      <c r="AY26" s="108"/>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row>
    <row r="27" spans="2:78" ht="15" customHeight="1" x14ac:dyDescent="0.3">
      <c r="F27" s="2" t="s">
        <v>394</v>
      </c>
      <c r="G27" s="206"/>
      <c r="H27" s="206"/>
      <c r="I27" s="206"/>
      <c r="J27" s="136"/>
      <c r="K27" s="137"/>
      <c r="L27" s="206"/>
      <c r="M27" s="206"/>
      <c r="N27" s="206"/>
      <c r="O27" s="136"/>
      <c r="P27" s="137"/>
      <c r="Q27" s="206"/>
      <c r="R27" s="206"/>
      <c r="S27" s="206"/>
      <c r="AG27" s="2" t="s">
        <v>401</v>
      </c>
      <c r="AH27" s="77"/>
      <c r="AJ27" s="77"/>
      <c r="AM27" s="128">
        <f>IF(ISBLANK(G27),1,2)</f>
        <v>1</v>
      </c>
      <c r="AN27" s="128">
        <f>IF(ISBLANK(L27),1,2)</f>
        <v>1</v>
      </c>
      <c r="AO27" s="128">
        <f>IF(ISBLANK(Q27),1,2)</f>
        <v>1</v>
      </c>
      <c r="AQ27" s="128">
        <f>IF(AND(ISBLANK(AH27),ISBLANK(AJ27)),1,2)</f>
        <v>1</v>
      </c>
      <c r="AS27" s="25">
        <v>5</v>
      </c>
      <c r="AT27" s="108" t="s">
        <v>476</v>
      </c>
      <c r="AU27" s="108"/>
      <c r="AV27" s="108"/>
      <c r="AW27" s="108"/>
      <c r="AX27" s="108"/>
      <c r="AY27" s="108"/>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row>
    <row r="28" spans="2:78" ht="4.95" customHeight="1" x14ac:dyDescent="0.3">
      <c r="J28" s="136"/>
      <c r="K28" s="137"/>
      <c r="O28" s="136"/>
      <c r="P28" s="137"/>
      <c r="AS28" s="25"/>
      <c r="AT28" s="108"/>
      <c r="AU28" s="108"/>
      <c r="AV28" s="108"/>
      <c r="AW28" s="108"/>
      <c r="AX28" s="108"/>
      <c r="AY28" s="108"/>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row>
    <row r="29" spans="2:78" ht="15" customHeight="1" x14ac:dyDescent="0.3">
      <c r="F29" s="2" t="s">
        <v>248</v>
      </c>
      <c r="G29" s="205"/>
      <c r="H29" s="205"/>
      <c r="I29" s="205"/>
      <c r="J29" s="136"/>
      <c r="K29" s="137"/>
      <c r="L29" s="205"/>
      <c r="M29" s="205"/>
      <c r="N29" s="205"/>
      <c r="O29" s="136"/>
      <c r="P29" s="137"/>
      <c r="Q29" s="205"/>
      <c r="R29" s="205"/>
      <c r="S29" s="205"/>
      <c r="AG29" s="2" t="s">
        <v>396</v>
      </c>
      <c r="AH29" s="77"/>
      <c r="AJ29" s="77"/>
      <c r="AQ29" s="128">
        <f>IF(AND(ISBLANK(AH29),ISBLANK(AJ29)),1,2)</f>
        <v>1</v>
      </c>
      <c r="AS29" s="25"/>
      <c r="AT29" s="108" t="s">
        <v>477</v>
      </c>
      <c r="AU29" s="108"/>
      <c r="AV29" s="108"/>
      <c r="AW29" s="108"/>
      <c r="AX29" s="108"/>
      <c r="AY29" s="108"/>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row>
    <row r="30" spans="2:78" ht="4.95" customHeight="1" x14ac:dyDescent="0.3">
      <c r="J30" s="136"/>
      <c r="K30" s="137"/>
      <c r="O30" s="136"/>
      <c r="P30" s="137"/>
      <c r="V30" s="4"/>
      <c r="AS30" s="25"/>
      <c r="AT30" s="108"/>
      <c r="AU30" s="108"/>
      <c r="AV30" s="108"/>
      <c r="AW30" s="108"/>
      <c r="AX30" s="108"/>
      <c r="AY30" s="108"/>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row>
    <row r="31" spans="2:78" ht="15" customHeight="1" x14ac:dyDescent="0.3">
      <c r="F31" s="2" t="s">
        <v>182</v>
      </c>
      <c r="G31" s="205"/>
      <c r="H31" s="205"/>
      <c r="I31" s="205"/>
      <c r="J31" s="136"/>
      <c r="K31" s="137"/>
      <c r="L31" s="205"/>
      <c r="M31" s="205"/>
      <c r="N31" s="205"/>
      <c r="O31" s="136"/>
      <c r="P31" s="137"/>
      <c r="Q31" s="205"/>
      <c r="R31" s="205"/>
      <c r="S31" s="205"/>
      <c r="AG31" s="2" t="s">
        <v>402</v>
      </c>
      <c r="AH31" s="77"/>
      <c r="AJ31" s="77"/>
      <c r="AQ31" s="128">
        <f>IF(AND(ISBLANK(AH31),ISBLANK(AJ31)),1,2)</f>
        <v>1</v>
      </c>
      <c r="AS31" s="25"/>
      <c r="AT31" s="108" t="s">
        <v>359</v>
      </c>
      <c r="AU31" s="108"/>
      <c r="AV31" s="108"/>
      <c r="AW31" s="108"/>
      <c r="AX31" s="108"/>
      <c r="AY31" s="108"/>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row>
    <row r="32" spans="2:78" ht="4.95" customHeight="1" x14ac:dyDescent="0.3">
      <c r="J32" s="136"/>
      <c r="K32" s="137"/>
      <c r="O32" s="136"/>
      <c r="P32" s="137"/>
      <c r="AS32" s="25"/>
      <c r="AT32" s="108"/>
      <c r="AU32" s="108"/>
      <c r="AV32" s="108"/>
      <c r="AW32" s="108"/>
      <c r="AX32" s="108"/>
      <c r="AY32" s="108"/>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row>
    <row r="33" spans="2:78" ht="15" customHeight="1" x14ac:dyDescent="0.3">
      <c r="G33" s="40" t="s">
        <v>175</v>
      </c>
      <c r="I33" s="40" t="s">
        <v>155</v>
      </c>
      <c r="J33" s="136"/>
      <c r="K33" s="137"/>
      <c r="L33" s="40" t="s">
        <v>175</v>
      </c>
      <c r="N33" s="40" t="s">
        <v>155</v>
      </c>
      <c r="O33" s="136"/>
      <c r="P33" s="137"/>
      <c r="Q33" s="40" t="s">
        <v>175</v>
      </c>
      <c r="S33" s="40" t="s">
        <v>155</v>
      </c>
      <c r="AG33" s="2" t="s">
        <v>398</v>
      </c>
      <c r="AH33" s="77"/>
      <c r="AJ33" s="77"/>
      <c r="AQ33" s="128">
        <f>IF(AND(ISBLANK(AH33),ISBLANK(AJ33)),1,2)</f>
        <v>1</v>
      </c>
      <c r="AS33" s="25">
        <v>6</v>
      </c>
      <c r="AT33" s="108" t="s">
        <v>360</v>
      </c>
      <c r="AU33" s="108"/>
      <c r="AV33" s="108"/>
      <c r="AW33" s="108"/>
      <c r="AX33" s="108"/>
      <c r="AY33" s="108"/>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row>
    <row r="34" spans="2:78" ht="4.95" customHeight="1" x14ac:dyDescent="0.3">
      <c r="J34" s="136"/>
      <c r="K34" s="137"/>
      <c r="O34" s="136"/>
      <c r="P34" s="137"/>
      <c r="AS34" s="25"/>
      <c r="AT34" s="108"/>
      <c r="AU34" s="108"/>
      <c r="AV34" s="108"/>
      <c r="AW34" s="108"/>
      <c r="AX34" s="108"/>
      <c r="AY34" s="108"/>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row>
    <row r="35" spans="2:78" ht="15" customHeight="1" x14ac:dyDescent="0.3">
      <c r="F35" s="2" t="s">
        <v>395</v>
      </c>
      <c r="G35" s="77"/>
      <c r="I35" s="77"/>
      <c r="J35" s="136"/>
      <c r="K35" s="137"/>
      <c r="L35" s="77"/>
      <c r="N35" s="77"/>
      <c r="O35" s="136"/>
      <c r="P35" s="137"/>
      <c r="Q35" s="77"/>
      <c r="S35" s="77"/>
      <c r="Z35" s="2" t="s">
        <v>403</v>
      </c>
      <c r="AA35" s="77"/>
      <c r="AB35" s="40" t="s">
        <v>400</v>
      </c>
      <c r="AG35" s="2" t="s">
        <v>398</v>
      </c>
      <c r="AH35" s="77"/>
      <c r="AJ35" s="77"/>
      <c r="AM35" s="128">
        <f>IF(AND(ISBLANK(G35),ISBLANK(I35)),1,2)</f>
        <v>1</v>
      </c>
      <c r="AN35" s="128">
        <f>IF(AND(ISBLANK(L35),ISBLANK(N35)),1,2)</f>
        <v>1</v>
      </c>
      <c r="AO35" s="128">
        <f>IF(AND(ISBLANK(Q35),ISBLANK(S35)),1,2)</f>
        <v>1</v>
      </c>
      <c r="AP35" s="128">
        <f>IF(ISBLANK(AA35),1,2)</f>
        <v>1</v>
      </c>
      <c r="AQ35" s="128">
        <f>IF(AND(ISBLANK(AH35),ISBLANK(AJ35)),1,2)</f>
        <v>1</v>
      </c>
      <c r="AS35" s="25"/>
      <c r="AT35" s="124" t="s">
        <v>116</v>
      </c>
      <c r="AU35" s="108" t="s">
        <v>361</v>
      </c>
      <c r="AV35" s="108"/>
      <c r="AW35" s="108"/>
      <c r="AX35" s="108"/>
      <c r="AY35" s="108"/>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row>
    <row r="36" spans="2:78" ht="4.95" customHeight="1" x14ac:dyDescent="0.3">
      <c r="J36" s="136"/>
      <c r="K36" s="137"/>
      <c r="O36" s="136"/>
      <c r="P36" s="137"/>
      <c r="Z36" s="2"/>
      <c r="AS36" s="25"/>
      <c r="AT36" s="124"/>
      <c r="AU36" s="108"/>
      <c r="AV36" s="108"/>
      <c r="AW36" s="108"/>
      <c r="AX36" s="108"/>
      <c r="AY36" s="108"/>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row>
    <row r="37" spans="2:78" ht="15" customHeight="1" x14ac:dyDescent="0.3">
      <c r="F37" s="2" t="s">
        <v>396</v>
      </c>
      <c r="G37" s="77"/>
      <c r="I37" s="77"/>
      <c r="J37" s="136"/>
      <c r="K37" s="137"/>
      <c r="L37" s="77"/>
      <c r="N37" s="77"/>
      <c r="O37" s="136"/>
      <c r="P37" s="137"/>
      <c r="Q37" s="77"/>
      <c r="S37" s="77"/>
      <c r="Z37" s="2" t="s">
        <v>405</v>
      </c>
      <c r="AA37" s="77"/>
      <c r="AB37" s="40" t="s">
        <v>400</v>
      </c>
      <c r="AG37" s="2" t="s">
        <v>398</v>
      </c>
      <c r="AH37" s="77"/>
      <c r="AJ37" s="77"/>
      <c r="AM37" s="128">
        <f>IF(AND(ISBLANK(G37),ISBLANK(I37)),1,2)</f>
        <v>1</v>
      </c>
      <c r="AN37" s="128">
        <f>IF(AND(ISBLANK(L37),ISBLANK(N37)),1,2)</f>
        <v>1</v>
      </c>
      <c r="AO37" s="128">
        <f>IF(AND(ISBLANK(Q37),ISBLANK(S37)),1,2)</f>
        <v>1</v>
      </c>
      <c r="AP37" s="128">
        <f>IF(ISBLANK(AA37),1,2)</f>
        <v>1</v>
      </c>
      <c r="AQ37" s="128">
        <f>IF(AND(ISBLANK(AH37),ISBLANK(AJ37)),1,2)</f>
        <v>1</v>
      </c>
      <c r="AS37" s="25"/>
      <c r="AT37" s="124" t="s">
        <v>116</v>
      </c>
      <c r="AU37" s="40" t="s">
        <v>362</v>
      </c>
      <c r="AV37" s="108"/>
      <c r="AW37" s="108"/>
      <c r="AX37" s="108"/>
      <c r="AY37" s="108"/>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row>
    <row r="38" spans="2:78" ht="4.95" customHeight="1" x14ac:dyDescent="0.3">
      <c r="J38" s="136"/>
      <c r="K38" s="137"/>
      <c r="O38" s="136"/>
      <c r="P38" s="137"/>
      <c r="Z38" s="2"/>
      <c r="AS38" s="25"/>
      <c r="AV38" s="108"/>
      <c r="AW38" s="108"/>
      <c r="AX38" s="108"/>
      <c r="AY38" s="108"/>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row>
    <row r="39" spans="2:78" ht="15" customHeight="1" x14ac:dyDescent="0.3">
      <c r="F39" s="2" t="s">
        <v>397</v>
      </c>
      <c r="G39" s="77"/>
      <c r="I39" s="77"/>
      <c r="J39" s="136"/>
      <c r="K39" s="137"/>
      <c r="L39" s="77"/>
      <c r="N39" s="77"/>
      <c r="O39" s="136"/>
      <c r="P39" s="137"/>
      <c r="Q39" s="77"/>
      <c r="S39" s="77"/>
      <c r="Z39" s="2" t="s">
        <v>406</v>
      </c>
      <c r="AA39" s="77"/>
      <c r="AB39" s="40" t="s">
        <v>400</v>
      </c>
      <c r="AG39" s="2" t="s">
        <v>398</v>
      </c>
      <c r="AH39" s="77"/>
      <c r="AJ39" s="77"/>
      <c r="AM39" s="128">
        <f>IF(AND(ISBLANK(G39),ISBLANK(I39)),1,2)</f>
        <v>1</v>
      </c>
      <c r="AN39" s="128">
        <f>IF(AND(ISBLANK(L39),ISBLANK(N39)),1,2)</f>
        <v>1</v>
      </c>
      <c r="AO39" s="128">
        <f>IF(AND(ISBLANK(Q39),ISBLANK(S39)),1,2)</f>
        <v>1</v>
      </c>
      <c r="AP39" s="128">
        <f>IF(ISBLANK(AA39),1,2)</f>
        <v>1</v>
      </c>
      <c r="AQ39" s="128">
        <f>IF(AND(ISBLANK(AH39),ISBLANK(AJ39)),1,2)</f>
        <v>1</v>
      </c>
      <c r="AS39" s="25"/>
      <c r="AT39" s="124" t="s">
        <v>116</v>
      </c>
      <c r="AU39" s="40" t="s">
        <v>363</v>
      </c>
      <c r="AV39" s="108"/>
      <c r="AW39" s="108"/>
      <c r="AX39" s="108"/>
      <c r="AY39" s="108"/>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row>
    <row r="40" spans="2:78" ht="4.95" customHeight="1" x14ac:dyDescent="0.3">
      <c r="J40" s="136"/>
      <c r="K40" s="137"/>
      <c r="O40" s="136"/>
      <c r="P40" s="137"/>
      <c r="AT40" s="25"/>
      <c r="AV40" s="108"/>
      <c r="AW40" s="108"/>
      <c r="AX40" s="108"/>
      <c r="AY40" s="108"/>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row>
    <row r="41" spans="2:78" ht="15" customHeight="1" x14ac:dyDescent="0.3">
      <c r="F41" s="2" t="s">
        <v>398</v>
      </c>
      <c r="G41" s="77"/>
      <c r="I41" s="77"/>
      <c r="J41" s="136"/>
      <c r="K41" s="137"/>
      <c r="L41" s="77"/>
      <c r="N41" s="77"/>
      <c r="O41" s="136"/>
      <c r="P41" s="137"/>
      <c r="Q41" s="77"/>
      <c r="S41" s="77"/>
      <c r="W41" s="13" t="s">
        <v>417</v>
      </c>
      <c r="AH41" s="77"/>
      <c r="AJ41" s="77"/>
      <c r="AM41" s="128">
        <f>IF(AND(ISBLANK(G41),ISBLANK(I41)),1,2)</f>
        <v>1</v>
      </c>
      <c r="AN41" s="128">
        <f>IF(AND(ISBLANK(L41),ISBLANK(N41)),1,2)</f>
        <v>1</v>
      </c>
      <c r="AO41" s="128">
        <f>IF(AND(ISBLANK(Q41),ISBLANK(S41)),1,2)</f>
        <v>1</v>
      </c>
      <c r="AQ41" s="128">
        <f>IF(AND(ISBLANK(AH41),ISBLANK(AJ41)),1,2)</f>
        <v>1</v>
      </c>
      <c r="AR41" s="128">
        <f>IF(ISBLANK(AH41),1,2)</f>
        <v>1</v>
      </c>
      <c r="AT41" s="124" t="s">
        <v>116</v>
      </c>
      <c r="AU41" s="40" t="s">
        <v>364</v>
      </c>
      <c r="AV41" s="108"/>
      <c r="AW41" s="108"/>
      <c r="AX41" s="108"/>
      <c r="AY41" s="108"/>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row>
    <row r="42" spans="2:78" ht="4.95" customHeight="1" x14ac:dyDescent="0.3">
      <c r="AT42" s="25"/>
      <c r="AV42" s="108"/>
      <c r="AW42" s="108"/>
      <c r="AX42" s="108"/>
      <c r="AY42" s="108"/>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row>
    <row r="43" spans="2:78" ht="15" customHeight="1" x14ac:dyDescent="0.3">
      <c r="B43" s="135">
        <v>2</v>
      </c>
      <c r="C43" s="103" t="s">
        <v>399</v>
      </c>
      <c r="M43" s="77"/>
      <c r="N43" s="40" t="s">
        <v>400</v>
      </c>
      <c r="W43" s="40" t="s">
        <v>418</v>
      </c>
      <c r="AM43" s="128">
        <f>IF(ISBLANK(M43),1,2)</f>
        <v>1</v>
      </c>
      <c r="AT43" s="124" t="s">
        <v>116</v>
      </c>
      <c r="AU43" s="40" t="s">
        <v>365</v>
      </c>
      <c r="AV43" s="108"/>
      <c r="AW43" s="108"/>
      <c r="AX43" s="108"/>
      <c r="AY43" s="108"/>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row>
    <row r="44" spans="2:78" ht="4.95" customHeight="1" x14ac:dyDescent="0.3">
      <c r="AS44" s="25"/>
      <c r="AV44" s="108"/>
      <c r="AW44" s="108"/>
      <c r="AX44" s="108"/>
      <c r="AY44" s="108"/>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row>
    <row r="45" spans="2:78" ht="15" customHeight="1" x14ac:dyDescent="0.3">
      <c r="F45" s="2" t="s">
        <v>394</v>
      </c>
      <c r="G45" s="206"/>
      <c r="H45" s="206"/>
      <c r="I45" s="206"/>
      <c r="J45" s="136"/>
      <c r="K45" s="137"/>
      <c r="L45" s="206"/>
      <c r="M45" s="206"/>
      <c r="N45" s="206"/>
      <c r="O45" s="136"/>
      <c r="P45" s="137"/>
      <c r="Q45" s="206"/>
      <c r="R45" s="206"/>
      <c r="S45" s="206"/>
      <c r="W45" s="205"/>
      <c r="X45" s="205"/>
      <c r="Y45" s="205"/>
      <c r="Z45" s="205"/>
      <c r="AA45" s="205"/>
      <c r="AB45" s="205"/>
      <c r="AC45" s="205"/>
      <c r="AD45" s="205"/>
      <c r="AE45" s="205"/>
      <c r="AF45" s="205"/>
      <c r="AG45" s="205"/>
      <c r="AH45" s="205"/>
      <c r="AI45" s="205"/>
      <c r="AJ45" s="205"/>
      <c r="AM45" s="128">
        <f>IF(ISBLANK(G45),1,2)</f>
        <v>1</v>
      </c>
      <c r="AN45" s="128">
        <f>IF(ISBLANK(L45),1,2)</f>
        <v>1</v>
      </c>
      <c r="AO45" s="128">
        <f>IF(ISBLANK(Q45),1,2)</f>
        <v>1</v>
      </c>
      <c r="AS45" s="25"/>
      <c r="AT45" s="124" t="s">
        <v>116</v>
      </c>
      <c r="AU45" s="40" t="s">
        <v>366</v>
      </c>
      <c r="AV45" s="108"/>
      <c r="AW45" s="108"/>
      <c r="AX45" s="108"/>
      <c r="AY45" s="108"/>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row>
    <row r="46" spans="2:78" ht="4.95" customHeight="1" x14ac:dyDescent="0.3">
      <c r="J46" s="136"/>
      <c r="K46" s="137"/>
      <c r="O46" s="136"/>
      <c r="P46" s="137"/>
      <c r="AS46" s="25"/>
      <c r="AT46" s="108"/>
      <c r="AU46" s="108"/>
      <c r="AV46" s="108"/>
      <c r="AW46" s="108"/>
      <c r="AX46" s="108"/>
      <c r="AY46" s="108"/>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row>
    <row r="47" spans="2:78" ht="15" customHeight="1" x14ac:dyDescent="0.3">
      <c r="F47" s="2" t="s">
        <v>248</v>
      </c>
      <c r="G47" s="205"/>
      <c r="H47" s="205"/>
      <c r="I47" s="205"/>
      <c r="J47" s="136"/>
      <c r="K47" s="137"/>
      <c r="L47" s="205"/>
      <c r="M47" s="205"/>
      <c r="N47" s="205"/>
      <c r="O47" s="136"/>
      <c r="P47" s="137"/>
      <c r="Q47" s="205"/>
      <c r="R47" s="205"/>
      <c r="S47" s="205"/>
      <c r="U47" s="135">
        <v>3</v>
      </c>
      <c r="V47" s="103" t="s">
        <v>419</v>
      </c>
      <c r="AS47" s="25">
        <f>AS33+1</f>
        <v>7</v>
      </c>
      <c r="AT47" s="97" t="s">
        <v>98</v>
      </c>
      <c r="AV47" s="108"/>
      <c r="AW47" s="108"/>
      <c r="AX47" s="108"/>
      <c r="AY47" s="108"/>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row>
    <row r="48" spans="2:78" ht="4.95" customHeight="1" x14ac:dyDescent="0.3">
      <c r="J48" s="136"/>
      <c r="K48" s="137"/>
      <c r="O48" s="136"/>
      <c r="P48" s="137"/>
      <c r="AS48" s="25"/>
      <c r="AV48" s="108"/>
      <c r="AW48" s="108"/>
      <c r="AX48" s="108"/>
      <c r="AY48" s="108"/>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row>
    <row r="49" spans="6:78" ht="15" customHeight="1" x14ac:dyDescent="0.3">
      <c r="F49" s="2" t="s">
        <v>182</v>
      </c>
      <c r="G49" s="205"/>
      <c r="H49" s="205"/>
      <c r="I49" s="205"/>
      <c r="J49" s="136"/>
      <c r="K49" s="137"/>
      <c r="L49" s="205"/>
      <c r="M49" s="205"/>
      <c r="N49" s="205"/>
      <c r="O49" s="136"/>
      <c r="P49" s="137"/>
      <c r="Q49" s="205"/>
      <c r="R49" s="205"/>
      <c r="S49" s="205"/>
      <c r="Z49" s="2" t="s">
        <v>420</v>
      </c>
      <c r="AA49" s="205"/>
      <c r="AB49" s="205"/>
      <c r="AC49" s="205"/>
      <c r="AD49" s="205"/>
      <c r="AE49" s="205"/>
      <c r="AF49" s="205"/>
      <c r="AG49" s="205"/>
      <c r="AH49" s="205"/>
      <c r="AI49" s="205"/>
      <c r="AJ49" s="205"/>
      <c r="AS49" s="25"/>
      <c r="AT49" s="4" t="s">
        <v>101</v>
      </c>
      <c r="AU49" s="40" t="s">
        <v>454</v>
      </c>
      <c r="AV49" s="108"/>
      <c r="AW49" s="108"/>
      <c r="AX49" s="108"/>
      <c r="AY49" s="108"/>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row>
    <row r="50" spans="6:78" ht="4.95" customHeight="1" x14ac:dyDescent="0.3">
      <c r="J50" s="136"/>
      <c r="K50" s="137"/>
      <c r="O50" s="136"/>
      <c r="P50" s="137"/>
      <c r="AS50" s="25"/>
      <c r="AV50" s="108"/>
      <c r="AW50" s="108"/>
      <c r="AX50" s="108"/>
      <c r="AY50" s="108"/>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row>
    <row r="51" spans="6:78" ht="15" customHeight="1" x14ac:dyDescent="0.3">
      <c r="G51" s="40" t="s">
        <v>175</v>
      </c>
      <c r="I51" s="40" t="s">
        <v>155</v>
      </c>
      <c r="J51" s="136"/>
      <c r="K51" s="137"/>
      <c r="L51" s="40" t="s">
        <v>175</v>
      </c>
      <c r="N51" s="40" t="s">
        <v>155</v>
      </c>
      <c r="O51" s="136"/>
      <c r="P51" s="137"/>
      <c r="Q51" s="40" t="s">
        <v>175</v>
      </c>
      <c r="S51" s="40" t="s">
        <v>155</v>
      </c>
      <c r="AF51" s="2" t="s">
        <v>401</v>
      </c>
      <c r="AH51" s="77"/>
      <c r="AJ51" s="77"/>
      <c r="AQ51" s="128">
        <f>IF(AND(ISBLANK(AH51),ISBLANK(AJ51)),1,2)</f>
        <v>1</v>
      </c>
      <c r="AS51" s="25"/>
      <c r="AT51" s="4" t="s">
        <v>102</v>
      </c>
      <c r="AU51" s="97" t="s">
        <v>478</v>
      </c>
      <c r="AV51" s="108"/>
      <c r="AW51" s="108"/>
      <c r="AX51" s="108"/>
      <c r="AY51" s="108"/>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row>
    <row r="52" spans="6:78" ht="4.95" customHeight="1" x14ac:dyDescent="0.3">
      <c r="J52" s="136"/>
      <c r="K52" s="137"/>
      <c r="O52" s="136"/>
      <c r="P52" s="137"/>
      <c r="AS52" s="25"/>
      <c r="AV52" s="108"/>
      <c r="AW52" s="108"/>
      <c r="AX52" s="108"/>
      <c r="AY52" s="108"/>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row>
    <row r="53" spans="6:78" ht="15" customHeight="1" x14ac:dyDescent="0.3">
      <c r="F53" s="2" t="s">
        <v>395</v>
      </c>
      <c r="G53" s="77"/>
      <c r="I53" s="77"/>
      <c r="J53" s="136"/>
      <c r="K53" s="137"/>
      <c r="L53" s="77"/>
      <c r="N53" s="77"/>
      <c r="O53" s="136"/>
      <c r="P53" s="137"/>
      <c r="Q53" s="77"/>
      <c r="S53" s="77"/>
      <c r="AF53" s="2" t="s">
        <v>396</v>
      </c>
      <c r="AH53" s="77"/>
      <c r="AJ53" s="77"/>
      <c r="AM53" s="128">
        <f>IF(AND(ISBLANK(G53),ISBLANK(I53)),1,2)</f>
        <v>1</v>
      </c>
      <c r="AN53" s="128">
        <f>IF(AND(ISBLANK(L53),ISBLANK(N53)),1,2)</f>
        <v>1</v>
      </c>
      <c r="AO53" s="128">
        <f>IF(AND(ISBLANK(Q53),ISBLANK(S53)),1,2)</f>
        <v>1</v>
      </c>
      <c r="AQ53" s="128">
        <f>IF(AND(ISBLANK(AH53),ISBLANK(AJ53)),1,2)</f>
        <v>1</v>
      </c>
      <c r="AS53" s="25"/>
      <c r="AT53" s="4" t="s">
        <v>114</v>
      </c>
      <c r="AU53" s="97" t="s">
        <v>107</v>
      </c>
      <c r="AV53" s="108"/>
      <c r="AW53" s="108"/>
      <c r="AX53" s="108"/>
      <c r="AY53" s="108"/>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row>
    <row r="54" spans="6:78" ht="4.95" customHeight="1" x14ac:dyDescent="0.3">
      <c r="J54" s="136"/>
      <c r="K54" s="137"/>
      <c r="O54" s="136"/>
      <c r="P54" s="137"/>
      <c r="AS54" s="25"/>
      <c r="AV54" s="108"/>
      <c r="AW54" s="108"/>
      <c r="AX54" s="108"/>
      <c r="AY54" s="108"/>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row>
    <row r="55" spans="6:78" ht="15" customHeight="1" x14ac:dyDescent="0.3">
      <c r="F55" s="2" t="s">
        <v>396</v>
      </c>
      <c r="G55" s="77"/>
      <c r="I55" s="77"/>
      <c r="J55" s="136"/>
      <c r="K55" s="137"/>
      <c r="L55" s="77"/>
      <c r="N55" s="77"/>
      <c r="O55" s="136"/>
      <c r="P55" s="137"/>
      <c r="Q55" s="77"/>
      <c r="S55" s="77"/>
      <c r="AF55" s="2" t="s">
        <v>398</v>
      </c>
      <c r="AH55" s="77"/>
      <c r="AJ55" s="77"/>
      <c r="AM55" s="128">
        <f>IF(AND(ISBLANK(G55),ISBLANK(I55)),1,2)</f>
        <v>1</v>
      </c>
      <c r="AN55" s="128">
        <f>IF(AND(ISBLANK(L55),ISBLANK(N55)),1,2)</f>
        <v>1</v>
      </c>
      <c r="AO55" s="128">
        <f>IF(AND(ISBLANK(Q55),ISBLANK(S55)),1,2)</f>
        <v>1</v>
      </c>
      <c r="AQ55" s="128">
        <f>IF(AND(ISBLANK(AH55),ISBLANK(AJ55)),1,2)</f>
        <v>1</v>
      </c>
      <c r="AR55" s="128">
        <f>IF(ISBLANK(AH55),1,2)</f>
        <v>1</v>
      </c>
      <c r="AT55" s="4" t="s">
        <v>115</v>
      </c>
      <c r="AU55" s="97" t="s">
        <v>290</v>
      </c>
      <c r="AV55" s="108"/>
      <c r="AW55" s="108"/>
      <c r="AX55" s="108"/>
      <c r="AY55" s="108"/>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row>
    <row r="56" spans="6:78" ht="4.95" customHeight="1" x14ac:dyDescent="0.3">
      <c r="J56" s="136"/>
      <c r="K56" s="137"/>
      <c r="O56" s="136"/>
      <c r="P56" s="137"/>
      <c r="AV56" s="108"/>
      <c r="AW56" s="108"/>
      <c r="AX56" s="108"/>
      <c r="AY56" s="108"/>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row>
    <row r="57" spans="6:78" ht="15" customHeight="1" x14ac:dyDescent="0.3">
      <c r="F57" s="2" t="s">
        <v>397</v>
      </c>
      <c r="G57" s="77"/>
      <c r="I57" s="77"/>
      <c r="J57" s="136"/>
      <c r="K57" s="137"/>
      <c r="L57" s="77"/>
      <c r="N57" s="77"/>
      <c r="O57" s="136"/>
      <c r="P57" s="137"/>
      <c r="Q57" s="77"/>
      <c r="S57" s="77"/>
      <c r="Z57" s="2" t="s">
        <v>421</v>
      </c>
      <c r="AA57" s="205"/>
      <c r="AB57" s="205"/>
      <c r="AC57" s="205"/>
      <c r="AD57" s="205"/>
      <c r="AE57" s="205"/>
      <c r="AF57" s="205"/>
      <c r="AG57" s="205"/>
      <c r="AH57" s="205"/>
      <c r="AI57" s="205"/>
      <c r="AJ57" s="205"/>
      <c r="AM57" s="128">
        <f>IF(AND(ISBLANK(G57),ISBLANK(I57)),1,2)</f>
        <v>1</v>
      </c>
      <c r="AN57" s="128">
        <f>IF(AND(ISBLANK(L57),ISBLANK(N57)),1,2)</f>
        <v>1</v>
      </c>
      <c r="AO57" s="128">
        <f>IF(AND(ISBLANK(Q57),ISBLANK(S57)),1,2)</f>
        <v>1</v>
      </c>
      <c r="AT57" s="4"/>
      <c r="AV57" s="108"/>
      <c r="AW57" s="108"/>
      <c r="AX57" s="108"/>
      <c r="AY57" s="108"/>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row>
    <row r="58" spans="6:78" ht="4.95" customHeight="1" x14ac:dyDescent="0.3">
      <c r="J58" s="136"/>
      <c r="K58" s="137"/>
      <c r="O58" s="136"/>
      <c r="P58" s="137"/>
      <c r="AS58" s="36"/>
      <c r="AV58" s="108"/>
      <c r="AW58" s="108"/>
      <c r="AX58" s="108"/>
      <c r="AY58" s="108"/>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row>
    <row r="59" spans="6:78" ht="15" customHeight="1" x14ac:dyDescent="0.3">
      <c r="F59" s="2" t="s">
        <v>398</v>
      </c>
      <c r="G59" s="77"/>
      <c r="I59" s="77"/>
      <c r="J59" s="136"/>
      <c r="K59" s="137"/>
      <c r="L59" s="77"/>
      <c r="N59" s="77"/>
      <c r="O59" s="136"/>
      <c r="P59" s="137"/>
      <c r="Q59" s="77"/>
      <c r="S59" s="77"/>
      <c r="AM59" s="128">
        <f>IF(AND(ISBLANK(G59),ISBLANK(I59)),1,2)</f>
        <v>1</v>
      </c>
      <c r="AN59" s="128">
        <f>IF(AND(ISBLANK(L59),ISBLANK(N59)),1,2)</f>
        <v>1</v>
      </c>
      <c r="AO59" s="128">
        <f>IF(AND(ISBLANK(Q59),ISBLANK(S59)),1,2)</f>
        <v>1</v>
      </c>
      <c r="AS59" s="36"/>
      <c r="AT59" s="4"/>
      <c r="AU59" s="97"/>
      <c r="AV59" s="108"/>
      <c r="AW59" s="108"/>
      <c r="AX59" s="108"/>
      <c r="AY59" s="108"/>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row>
    <row r="60" spans="6:78" ht="4.95" customHeight="1" x14ac:dyDescent="0.3">
      <c r="AS60" s="36"/>
      <c r="AV60" s="108"/>
      <c r="AW60" s="108"/>
      <c r="AX60" s="108"/>
      <c r="AY60" s="108"/>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row>
    <row r="61" spans="6:78" ht="15" customHeight="1" x14ac:dyDescent="0.3">
      <c r="AS61" s="25"/>
      <c r="AT61" s="4"/>
      <c r="AV61" s="108"/>
      <c r="AW61" s="108"/>
      <c r="AX61" s="108"/>
      <c r="AY61" s="108"/>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row>
    <row r="62" spans="6:78" ht="15" customHeight="1" x14ac:dyDescent="0.3">
      <c r="AS62" s="25"/>
      <c r="AT62" s="4"/>
      <c r="AV62" s="108"/>
      <c r="AW62" s="108"/>
      <c r="AX62" s="108"/>
      <c r="AY62" s="108"/>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row>
    <row r="63" spans="6:78" ht="15" customHeight="1" x14ac:dyDescent="0.3">
      <c r="AS63" s="25"/>
      <c r="AT63" s="4"/>
      <c r="AV63" s="108"/>
      <c r="AW63" s="108"/>
      <c r="AX63" s="108"/>
      <c r="AY63" s="108"/>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row>
    <row r="64" spans="6:78" ht="15" customHeight="1" x14ac:dyDescent="0.3">
      <c r="AS64" s="25"/>
      <c r="AT64" s="108"/>
      <c r="AU64" s="108"/>
      <c r="AV64" s="108"/>
      <c r="AW64" s="108"/>
      <c r="AX64" s="108"/>
      <c r="AY64" s="108"/>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row>
    <row r="65" spans="2:78" ht="15" customHeight="1" x14ac:dyDescent="0.3">
      <c r="B65" s="216">
        <f>Tables!$C$13</f>
        <v>45383</v>
      </c>
      <c r="C65" s="216"/>
      <c r="D65" s="216"/>
      <c r="E65" s="216"/>
      <c r="F65" s="216"/>
      <c r="G65" s="216"/>
      <c r="H65" s="216"/>
      <c r="R65" s="184" t="s">
        <v>293</v>
      </c>
      <c r="S65" s="184"/>
      <c r="T65" s="184"/>
      <c r="U65" s="184"/>
      <c r="AS65" s="25"/>
      <c r="AT65" s="108"/>
      <c r="AU65" s="108"/>
      <c r="AV65" s="108"/>
      <c r="AW65" s="108"/>
      <c r="AX65" s="108"/>
      <c r="AY65" s="108"/>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row>
    <row r="66" spans="2:78" ht="15" customHeight="1" x14ac:dyDescent="0.3">
      <c r="D66" s="2" t="s">
        <v>146</v>
      </c>
      <c r="E66" s="239">
        <f>$E$15</f>
        <v>0</v>
      </c>
      <c r="F66" s="239"/>
      <c r="G66" s="239"/>
      <c r="H66" s="239"/>
      <c r="I66" s="239"/>
      <c r="J66" s="239"/>
      <c r="K66" s="239"/>
      <c r="L66" s="239"/>
      <c r="M66" s="239"/>
      <c r="N66" s="239"/>
      <c r="O66" s="239"/>
      <c r="P66" s="239"/>
      <c r="Q66" s="239"/>
      <c r="R66" s="239"/>
      <c r="S66" s="239"/>
      <c r="T66" s="239"/>
      <c r="U66" s="239"/>
      <c r="V66" s="239"/>
      <c r="W66" s="239"/>
      <c r="X66" s="239"/>
      <c r="Y66" s="239"/>
      <c r="AD66" s="2" t="s">
        <v>192</v>
      </c>
      <c r="AE66" s="280">
        <f>$AE$15</f>
        <v>0</v>
      </c>
      <c r="AF66" s="262"/>
      <c r="AG66" s="262"/>
      <c r="AH66" s="262"/>
      <c r="AI66" s="262"/>
      <c r="AJ66" s="262"/>
      <c r="AS66" s="25"/>
      <c r="AT66" s="108"/>
      <c r="AU66" s="108"/>
      <c r="AV66" s="108"/>
      <c r="AW66" s="108"/>
      <c r="AX66" s="108"/>
      <c r="AY66" s="108"/>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row>
    <row r="67" spans="2:78" ht="15" customHeight="1" x14ac:dyDescent="0.3">
      <c r="AD67" s="2" t="s">
        <v>193</v>
      </c>
      <c r="AE67" s="262">
        <f>$AE$16</f>
        <v>0</v>
      </c>
      <c r="AF67" s="262"/>
      <c r="AG67" s="262"/>
      <c r="AH67" s="262"/>
      <c r="AI67" s="262"/>
      <c r="AJ67" s="262"/>
      <c r="AS67" s="25"/>
      <c r="AT67" s="108"/>
      <c r="AU67" s="108"/>
      <c r="AV67" s="108"/>
      <c r="AW67" s="108"/>
      <c r="AX67" s="108"/>
      <c r="AY67" s="108"/>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row>
    <row r="68" spans="2:78" ht="15" customHeight="1" x14ac:dyDescent="0.3">
      <c r="B68" s="1" t="s">
        <v>199</v>
      </c>
      <c r="AS68" s="25"/>
      <c r="AT68" s="25"/>
      <c r="AU68" s="25"/>
      <c r="AV68" s="25"/>
      <c r="AW68" s="25"/>
      <c r="AX68" s="25"/>
      <c r="AY68" s="25"/>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row>
    <row r="69" spans="2:78" ht="4.95" customHeight="1" x14ac:dyDescent="0.3">
      <c r="AS69" s="25"/>
      <c r="AT69" s="25"/>
      <c r="AU69" s="25"/>
      <c r="AV69" s="25"/>
      <c r="AW69" s="25"/>
      <c r="AX69" s="25"/>
      <c r="AY69" s="25"/>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row>
    <row r="70" spans="2:78" ht="15" customHeight="1" x14ac:dyDescent="0.3">
      <c r="C70" s="77"/>
      <c r="D70" s="40" t="s">
        <v>200</v>
      </c>
      <c r="R70" s="77"/>
      <c r="S70" s="40" t="s">
        <v>422</v>
      </c>
      <c r="AM70" s="128">
        <f>IF(AND(ISBLANK(C70),ISBLANK(R70)),1,2)</f>
        <v>1</v>
      </c>
      <c r="AS70" s="25"/>
      <c r="AT70" s="25"/>
      <c r="AU70" s="25"/>
      <c r="AV70" s="25"/>
      <c r="AW70" s="25"/>
      <c r="AX70" s="25"/>
      <c r="AY70" s="25"/>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row>
    <row r="71" spans="2:78" ht="4.95" customHeight="1" x14ac:dyDescent="0.3">
      <c r="AS71" s="25"/>
      <c r="AT71" s="25"/>
      <c r="AU71" s="25"/>
      <c r="AV71" s="25"/>
      <c r="AW71" s="25"/>
      <c r="AX71" s="25"/>
      <c r="AY71" s="25"/>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row>
    <row r="72" spans="2:78" ht="15" customHeight="1" x14ac:dyDescent="0.3">
      <c r="B72" s="1" t="s">
        <v>201</v>
      </c>
      <c r="AS72" s="25"/>
      <c r="AT72" s="25"/>
      <c r="AU72" s="25"/>
      <c r="AV72" s="25"/>
      <c r="AW72" s="25"/>
      <c r="AX72" s="25"/>
      <c r="AY72" s="25"/>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row>
    <row r="73" spans="2:78" ht="4.95" customHeight="1" x14ac:dyDescent="0.3">
      <c r="B73" s="1"/>
      <c r="AS73" s="25"/>
      <c r="AT73" s="25"/>
      <c r="AU73" s="25"/>
      <c r="AV73" s="25"/>
      <c r="AW73" s="25"/>
      <c r="AX73" s="25"/>
      <c r="AY73" s="25"/>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row>
    <row r="74" spans="2:78" ht="15" customHeight="1" x14ac:dyDescent="0.3">
      <c r="B74" s="135">
        <f>B25</f>
        <v>1</v>
      </c>
      <c r="C74" s="103" t="s">
        <v>266</v>
      </c>
      <c r="K74" s="142" t="str">
        <f>IF(AND(ISBLANK(G41),ISBLANK(L41),ISBLANK(Q41)),"","X")</f>
        <v/>
      </c>
      <c r="L74" s="40" t="s">
        <v>202</v>
      </c>
      <c r="P74" s="135">
        <v>7</v>
      </c>
      <c r="Q74" s="103" t="s">
        <v>427</v>
      </c>
      <c r="U74" s="25"/>
      <c r="AC74" s="25"/>
      <c r="AS74" s="25"/>
      <c r="AT74" s="25"/>
      <c r="AU74" s="25"/>
      <c r="AV74" s="25"/>
      <c r="AW74" s="25"/>
      <c r="AX74" s="25"/>
      <c r="AY74" s="25"/>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row>
    <row r="75" spans="2:78" ht="4.95" customHeight="1" x14ac:dyDescent="0.3">
      <c r="B75" s="1"/>
      <c r="U75" s="25"/>
      <c r="AC75" s="25"/>
      <c r="AS75" s="25"/>
      <c r="AT75" s="25"/>
      <c r="AU75" s="25"/>
      <c r="AV75" s="25"/>
      <c r="AW75" s="25"/>
      <c r="AX75" s="25"/>
      <c r="AY75" s="25"/>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row>
    <row r="76" spans="2:78" ht="15" customHeight="1" x14ac:dyDescent="0.3">
      <c r="B76" s="135">
        <v>2</v>
      </c>
      <c r="C76" s="103" t="s">
        <v>391</v>
      </c>
      <c r="D76" s="1"/>
      <c r="E76" s="1"/>
      <c r="F76" s="1"/>
      <c r="G76" s="1"/>
      <c r="H76" s="1"/>
      <c r="I76" s="1"/>
      <c r="J76" s="1"/>
      <c r="K76" s="142" t="str">
        <f>IF(AND(ISBLANK(G59),ISBLANK(L59),ISBLANK(Q59)),"","X")</f>
        <v/>
      </c>
      <c r="L76" s="40" t="s">
        <v>202</v>
      </c>
      <c r="N76" s="1"/>
      <c r="O76" s="1"/>
      <c r="Q76" s="142" t="str">
        <f>IF(AND(ISBLANK(G35),ISBLANK(L35),ISBLANK(Q35),ISBLANK(AH27),ISBLANK(G53),ISBLANK(L53),ISBLANK(Q53)),"","X")</f>
        <v/>
      </c>
      <c r="R76" s="40" t="s">
        <v>425</v>
      </c>
      <c r="Z76" s="176"/>
      <c r="AA76" s="176"/>
      <c r="AB76" s="176"/>
      <c r="AC76" s="176"/>
      <c r="AE76" s="77"/>
      <c r="AF76" s="40" t="s">
        <v>203</v>
      </c>
      <c r="AH76" s="77"/>
      <c r="AI76" s="40" t="s">
        <v>204</v>
      </c>
      <c r="AN76" s="128">
        <f>IF(Q76="X",2,1)</f>
        <v>1</v>
      </c>
      <c r="AO76" s="128">
        <f>IF(AND(ISBLANK(AE76),ISBLANK(AH76)),1,2)</f>
        <v>1</v>
      </c>
      <c r="AS76" s="25"/>
      <c r="AT76" s="25"/>
      <c r="AU76" s="25"/>
      <c r="AV76" s="25"/>
      <c r="AW76" s="25"/>
      <c r="AX76" s="25"/>
      <c r="AY76" s="25"/>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row>
    <row r="77" spans="2:78" ht="4.95" customHeight="1" x14ac:dyDescent="0.3">
      <c r="B77" s="1"/>
      <c r="C77" s="1"/>
      <c r="D77" s="1"/>
      <c r="E77" s="1"/>
      <c r="F77" s="1"/>
      <c r="G77" s="1"/>
      <c r="H77" s="1"/>
      <c r="I77" s="1"/>
      <c r="J77" s="1"/>
      <c r="K77" s="1"/>
      <c r="L77" s="1"/>
      <c r="M77" s="1"/>
      <c r="N77" s="1"/>
      <c r="O77" s="1"/>
      <c r="AS77" s="25"/>
      <c r="AT77" s="25"/>
      <c r="AU77" s="25"/>
      <c r="AV77" s="25"/>
      <c r="AW77" s="25"/>
      <c r="AX77" s="25"/>
      <c r="AY77" s="25"/>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row>
    <row r="78" spans="2:78" ht="15" customHeight="1" x14ac:dyDescent="0.3">
      <c r="B78" s="135">
        <v>3</v>
      </c>
      <c r="C78" s="103" t="s">
        <v>392</v>
      </c>
      <c r="D78" s="1"/>
      <c r="E78" s="1"/>
      <c r="F78" s="1"/>
      <c r="G78" s="1"/>
      <c r="H78" s="1"/>
      <c r="I78" s="1"/>
      <c r="J78" s="1"/>
      <c r="K78" s="142" t="str">
        <f>IF(AND(ISBLANK(AH33),ISBLANK(AH35),ISBLANK(AH37),ISBLANK(AH39)),"","X")</f>
        <v/>
      </c>
      <c r="L78" s="40" t="s">
        <v>202</v>
      </c>
      <c r="N78" s="1"/>
      <c r="O78" s="1"/>
      <c r="Q78" s="142" t="str">
        <f>IF(AND(ISBLANK(G37),ISBLANK(L37),ISBLANK(Q37),ISBLANK(G55),ISBLANK(L55),ISBLANK(Q55),ISBLANK(AH29)),"","X")</f>
        <v/>
      </c>
      <c r="R78" s="40" t="s">
        <v>208</v>
      </c>
      <c r="Z78" s="176"/>
      <c r="AA78" s="176"/>
      <c r="AB78" s="176"/>
      <c r="AC78" s="176"/>
      <c r="AE78" s="77"/>
      <c r="AF78" s="40" t="s">
        <v>205</v>
      </c>
      <c r="AH78" s="77"/>
      <c r="AI78" s="40" t="s">
        <v>204</v>
      </c>
      <c r="AN78" s="128">
        <f>IF(Q78="X",2,1)</f>
        <v>1</v>
      </c>
      <c r="AO78" s="128">
        <f>IF(AND(ISBLANK(AE78),ISBLANK(AH78)),1,2)</f>
        <v>1</v>
      </c>
      <c r="AS78" s="25"/>
      <c r="AT78" s="25"/>
      <c r="AU78" s="25"/>
      <c r="AV78" s="25"/>
      <c r="AW78" s="25"/>
      <c r="AX78" s="25"/>
      <c r="AY78" s="25"/>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row>
    <row r="79" spans="2:78" ht="4.95" customHeight="1" x14ac:dyDescent="0.3">
      <c r="B79" s="1"/>
      <c r="C79" s="1"/>
      <c r="D79" s="1"/>
      <c r="E79" s="1"/>
      <c r="F79" s="1"/>
      <c r="G79" s="1"/>
      <c r="H79" s="1"/>
      <c r="I79" s="1"/>
      <c r="J79" s="1"/>
      <c r="K79" s="1"/>
      <c r="L79" s="1"/>
      <c r="M79" s="1"/>
      <c r="N79" s="1"/>
      <c r="O79" s="1"/>
      <c r="AS79" s="25"/>
      <c r="AT79" s="25"/>
      <c r="AU79" s="25"/>
      <c r="AV79" s="25"/>
      <c r="AW79" s="25"/>
      <c r="AX79" s="25"/>
      <c r="AY79" s="25"/>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row>
    <row r="80" spans="2:78" ht="15" customHeight="1" x14ac:dyDescent="0.3">
      <c r="B80" s="135">
        <v>4</v>
      </c>
      <c r="C80" s="103" t="s">
        <v>423</v>
      </c>
      <c r="D80" s="1"/>
      <c r="E80" s="1"/>
      <c r="F80" s="1"/>
      <c r="G80" s="1"/>
      <c r="H80" s="1"/>
      <c r="I80" s="1"/>
      <c r="J80" s="1"/>
      <c r="K80" s="142" t="str">
        <f>IF(ISBLANK(AH35),"","X")</f>
        <v/>
      </c>
      <c r="L80" s="40" t="s">
        <v>202</v>
      </c>
      <c r="N80" s="1"/>
      <c r="O80" s="1"/>
      <c r="Q80" s="142" t="str">
        <f>IF(ISBLANK(AH41),"","X")</f>
        <v/>
      </c>
      <c r="R80" s="40" t="s">
        <v>426</v>
      </c>
      <c r="AS80" s="25"/>
      <c r="AT80" s="25"/>
      <c r="AU80" s="25"/>
      <c r="AV80" s="25"/>
      <c r="AW80" s="25"/>
      <c r="AX80" s="25"/>
      <c r="AY80" s="25"/>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row>
    <row r="81" spans="2:78" ht="4.95" customHeight="1" x14ac:dyDescent="0.3">
      <c r="B81" s="1"/>
      <c r="AS81" s="25"/>
      <c r="AT81" s="25"/>
      <c r="AU81" s="25"/>
      <c r="AV81" s="25"/>
      <c r="AW81" s="25"/>
      <c r="AX81" s="25"/>
      <c r="AY81" s="25"/>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row>
    <row r="82" spans="2:78" ht="15" customHeight="1" x14ac:dyDescent="0.3">
      <c r="B82" s="135">
        <v>5</v>
      </c>
      <c r="C82" s="103" t="s">
        <v>424</v>
      </c>
      <c r="K82" s="142" t="str">
        <f>IF(ISBLANK(AH37),"","X")</f>
        <v/>
      </c>
      <c r="L82" s="40" t="s">
        <v>202</v>
      </c>
      <c r="P82" s="135">
        <v>8</v>
      </c>
      <c r="Q82" s="103" t="s">
        <v>415</v>
      </c>
      <c r="AS82" s="25"/>
      <c r="AT82" s="25"/>
      <c r="AU82" s="25"/>
      <c r="AV82" s="25"/>
      <c r="AW82" s="25"/>
      <c r="AX82" s="25"/>
      <c r="AY82" s="25"/>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row>
    <row r="83" spans="2:78" ht="4.95" customHeight="1" x14ac:dyDescent="0.3">
      <c r="AS83" s="25"/>
      <c r="AT83" s="25"/>
      <c r="AU83" s="25"/>
      <c r="AV83" s="25"/>
      <c r="AW83" s="25"/>
      <c r="AX83" s="25"/>
      <c r="AY83" s="25"/>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row>
    <row r="84" spans="2:78" ht="15" customHeight="1" x14ac:dyDescent="0.3">
      <c r="B84" s="135">
        <v>6</v>
      </c>
      <c r="C84" s="103" t="s">
        <v>415</v>
      </c>
      <c r="K84" s="142" t="str">
        <f>IF(ISBLANK(AH55),"","X")</f>
        <v/>
      </c>
      <c r="L84" s="40" t="s">
        <v>202</v>
      </c>
      <c r="Q84" s="142" t="str">
        <f>IF(ISBLANK(AH51),"","X")</f>
        <v/>
      </c>
      <c r="R84" s="40" t="s">
        <v>425</v>
      </c>
      <c r="Z84" s="176"/>
      <c r="AA84" s="176"/>
      <c r="AB84" s="176"/>
      <c r="AC84" s="176"/>
      <c r="AE84" s="77"/>
      <c r="AF84" s="40" t="s">
        <v>203</v>
      </c>
      <c r="AH84" s="77"/>
      <c r="AI84" s="40" t="s">
        <v>204</v>
      </c>
      <c r="AN84" s="128">
        <f>IF(Q84="X",2,1)</f>
        <v>1</v>
      </c>
      <c r="AO84" s="128">
        <f>IF(AND(ISBLANK(AE84),ISBLANK(AH84)),1,2)</f>
        <v>1</v>
      </c>
      <c r="AS84" s="25"/>
      <c r="AT84" s="25"/>
      <c r="AU84" s="25"/>
      <c r="AV84" s="25"/>
      <c r="AW84" s="25"/>
      <c r="AX84" s="25"/>
      <c r="AY84" s="25"/>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row>
    <row r="85" spans="2:78" ht="4.95" customHeight="1" x14ac:dyDescent="0.3">
      <c r="Q85" s="4"/>
      <c r="AS85" s="25"/>
      <c r="AT85" s="25"/>
      <c r="AU85" s="25"/>
      <c r="AV85" s="25"/>
      <c r="AW85" s="25"/>
      <c r="AX85" s="25"/>
      <c r="AY85" s="25"/>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row>
    <row r="86" spans="2:78" ht="15" customHeight="1" x14ac:dyDescent="0.3">
      <c r="Q86" s="142" t="str">
        <f>IF(ISBLANK(AH53),"","X")</f>
        <v/>
      </c>
      <c r="R86" s="40" t="s">
        <v>208</v>
      </c>
      <c r="Z86" s="176"/>
      <c r="AA86" s="176"/>
      <c r="AB86" s="176"/>
      <c r="AC86" s="176"/>
      <c r="AE86" s="77"/>
      <c r="AF86" s="40" t="s">
        <v>205</v>
      </c>
      <c r="AH86" s="77"/>
      <c r="AI86" s="40" t="s">
        <v>204</v>
      </c>
      <c r="AN86" s="128">
        <f>IF(Q86="X",2,1)</f>
        <v>1</v>
      </c>
      <c r="AO86" s="128">
        <f>IF(AND(ISBLANK(AE86),ISBLANK(AH86)),1,2)</f>
        <v>1</v>
      </c>
      <c r="AS86" s="25"/>
      <c r="AT86" s="25"/>
      <c r="AU86" s="25"/>
      <c r="AV86" s="25"/>
      <c r="AW86" s="25"/>
      <c r="AX86" s="25"/>
      <c r="AY86" s="25"/>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row>
    <row r="87" spans="2:78" ht="4.95" customHeight="1" x14ac:dyDescent="0.3">
      <c r="B87" s="1"/>
      <c r="C87" s="1"/>
      <c r="D87" s="1"/>
      <c r="E87" s="1"/>
      <c r="F87" s="1"/>
      <c r="G87" s="1"/>
      <c r="H87" s="1"/>
      <c r="I87" s="1"/>
      <c r="J87" s="1"/>
      <c r="K87" s="1"/>
      <c r="L87" s="1"/>
      <c r="M87" s="1"/>
      <c r="N87" s="1"/>
      <c r="O87" s="1"/>
      <c r="Q87" s="4"/>
      <c r="AS87" s="25"/>
      <c r="AT87" s="25"/>
      <c r="AU87" s="25"/>
      <c r="AV87" s="25"/>
      <c r="AW87" s="25"/>
      <c r="AX87" s="25"/>
      <c r="AY87" s="25"/>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row>
    <row r="88" spans="2:78" ht="15" customHeight="1" x14ac:dyDescent="0.3">
      <c r="I88" s="138" t="s">
        <v>430</v>
      </c>
      <c r="J88" s="264"/>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2:78" ht="15" customHeight="1" x14ac:dyDescent="0.3">
      <c r="I89" s="138" t="s">
        <v>429</v>
      </c>
      <c r="J89" s="267"/>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9"/>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row>
    <row r="90" spans="2:78" ht="15" customHeight="1" x14ac:dyDescent="0.3">
      <c r="J90" s="270"/>
      <c r="K90" s="271"/>
      <c r="L90" s="271"/>
      <c r="M90" s="271"/>
      <c r="N90" s="271"/>
      <c r="O90" s="271"/>
      <c r="P90" s="271"/>
      <c r="Q90" s="271"/>
      <c r="R90" s="271"/>
      <c r="S90" s="271"/>
      <c r="T90" s="271"/>
      <c r="U90" s="271"/>
      <c r="V90" s="271"/>
      <c r="W90" s="271"/>
      <c r="X90" s="271"/>
      <c r="Y90" s="271"/>
      <c r="Z90" s="271"/>
      <c r="AA90" s="271"/>
      <c r="AB90" s="271"/>
      <c r="AC90" s="271"/>
      <c r="AD90" s="271"/>
      <c r="AE90" s="271"/>
      <c r="AF90" s="271"/>
      <c r="AG90" s="271"/>
      <c r="AH90" s="271"/>
      <c r="AI90" s="271"/>
      <c r="AJ90" s="272"/>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row>
    <row r="91" spans="2:78" ht="15" customHeight="1" x14ac:dyDescent="0.3">
      <c r="H91" s="74"/>
      <c r="I91" s="138" t="s">
        <v>428</v>
      </c>
      <c r="J91" s="192"/>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4"/>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row>
    <row r="92" spans="2:78" ht="15" customHeight="1" x14ac:dyDescent="0.3">
      <c r="G92" s="138"/>
      <c r="H92" s="74"/>
      <c r="I92" s="74"/>
      <c r="J92" s="195"/>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7"/>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row>
    <row r="93" spans="2:78" ht="15" customHeight="1" x14ac:dyDescent="0.3">
      <c r="H93" s="74"/>
      <c r="I93" s="74"/>
      <c r="J93" s="198"/>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200"/>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2:78" ht="4.95" customHeight="1" x14ac:dyDescent="0.3">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row>
    <row r="95" spans="2:78" ht="15" customHeight="1" x14ac:dyDescent="0.3">
      <c r="B95" s="1" t="s">
        <v>104</v>
      </c>
      <c r="H95" s="40" t="s">
        <v>173</v>
      </c>
      <c r="J95" s="40" t="s">
        <v>175</v>
      </c>
      <c r="L95" s="40" t="s">
        <v>155</v>
      </c>
      <c r="X95" s="40" t="s">
        <v>412</v>
      </c>
      <c r="AC95" s="40" t="s">
        <v>413</v>
      </c>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row>
    <row r="96" spans="2:78" ht="4.95" customHeight="1" x14ac:dyDescent="0.3">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row>
    <row r="97" spans="2:78" ht="15" customHeight="1" x14ac:dyDescent="0.3">
      <c r="H97" s="77"/>
      <c r="J97" s="77"/>
      <c r="L97" s="77"/>
      <c r="N97" s="40" t="s">
        <v>479</v>
      </c>
      <c r="Y97" s="206"/>
      <c r="Z97" s="206"/>
      <c r="AC97" s="261"/>
      <c r="AD97" s="261"/>
      <c r="AE97" s="261"/>
      <c r="AF97" s="261"/>
      <c r="AG97" s="261"/>
      <c r="AH97" s="261"/>
      <c r="AI97" s="261"/>
      <c r="AM97" s="128">
        <f>IF(AND(ISBLANK(J97),ISBLANK(L97)),1,2)</f>
        <v>1</v>
      </c>
      <c r="AN97" s="128">
        <f>IF(ISBLANK(L97),1,2)</f>
        <v>1</v>
      </c>
      <c r="AO97" s="128">
        <f>IF(ISBLANK(J97),1,2)</f>
        <v>1</v>
      </c>
      <c r="AP97" s="128">
        <f>IF(H97="",1,2)</f>
        <v>1</v>
      </c>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row>
    <row r="98" spans="2:78" ht="4.95" customHeight="1" x14ac:dyDescent="0.3">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row>
    <row r="99" spans="2:78" ht="15" customHeight="1" x14ac:dyDescent="0.3">
      <c r="H99" s="77"/>
      <c r="J99" s="77"/>
      <c r="L99" s="77"/>
      <c r="N99" s="40" t="s">
        <v>416</v>
      </c>
      <c r="Y99" s="206"/>
      <c r="Z99" s="206"/>
      <c r="AC99" s="261"/>
      <c r="AD99" s="261"/>
      <c r="AE99" s="261"/>
      <c r="AF99" s="261"/>
      <c r="AG99" s="261"/>
      <c r="AH99" s="261"/>
      <c r="AI99" s="261"/>
      <c r="AM99" s="128">
        <f>IF(AND(ISBLANK(J99),ISBLANK(L99)),1,2)</f>
        <v>1</v>
      </c>
      <c r="AN99" s="128">
        <f>IF(ISBLANK(L99),1,2)</f>
        <v>1</v>
      </c>
      <c r="AO99" s="128">
        <f>IF(ISBLANK(J99),1,2)</f>
        <v>1</v>
      </c>
      <c r="AP99" s="128">
        <f>IF(H99="",1,2)</f>
        <v>1</v>
      </c>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row>
    <row r="100" spans="2:78" ht="4.95" customHeight="1" x14ac:dyDescent="0.3">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row>
    <row r="101" spans="2:78" ht="15" customHeight="1" x14ac:dyDescent="0.3">
      <c r="J101" s="77"/>
      <c r="L101" s="77"/>
      <c r="N101" s="40" t="s">
        <v>392</v>
      </c>
      <c r="Y101" s="206"/>
      <c r="Z101" s="206"/>
      <c r="AC101" s="261"/>
      <c r="AD101" s="261"/>
      <c r="AE101" s="261"/>
      <c r="AF101" s="261"/>
      <c r="AG101" s="261"/>
      <c r="AH101" s="261"/>
      <c r="AI101" s="261"/>
      <c r="AM101" s="128">
        <f>IF(AND(ISBLANK(J101),ISBLANK(L101)),1,2)</f>
        <v>1</v>
      </c>
      <c r="AN101" s="128">
        <f>IF(ISBLANK(L101),1,2)</f>
        <v>1</v>
      </c>
      <c r="AO101" s="128">
        <f>IF(ISBLANK(J101),1,2)</f>
        <v>1</v>
      </c>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row>
    <row r="102" spans="2:78" ht="4.95" customHeight="1" x14ac:dyDescent="0.3">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row>
    <row r="103" spans="2:78" ht="15" customHeight="1" x14ac:dyDescent="0.3">
      <c r="J103" s="77"/>
      <c r="L103" s="77"/>
      <c r="N103" s="40" t="s">
        <v>415</v>
      </c>
      <c r="Y103" s="206"/>
      <c r="Z103" s="206"/>
      <c r="AC103" s="261"/>
      <c r="AD103" s="261"/>
      <c r="AE103" s="261"/>
      <c r="AF103" s="261"/>
      <c r="AG103" s="261"/>
      <c r="AH103" s="261"/>
      <c r="AI103" s="261"/>
      <c r="AM103" s="128">
        <f>IF(AND(ISBLANK(J103),ISBLANK(L103)),1,2)</f>
        <v>1</v>
      </c>
      <c r="AN103" s="128">
        <f>IF(ISBLANK(L103),1,2)</f>
        <v>1</v>
      </c>
      <c r="AO103" s="128">
        <f>IF(ISBLANK(J103),1,2)</f>
        <v>1</v>
      </c>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row>
    <row r="104" spans="2:78" ht="4.95" customHeight="1" x14ac:dyDescent="0.3">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row>
    <row r="105" spans="2:78" ht="15" customHeight="1" x14ac:dyDescent="0.3">
      <c r="B105" s="1" t="s">
        <v>144</v>
      </c>
      <c r="AD105" s="2"/>
      <c r="AE105" s="4"/>
      <c r="AF105" s="4"/>
      <c r="AG105" s="4"/>
      <c r="AH105" s="4"/>
      <c r="AI105" s="4"/>
      <c r="AJ105" s="4"/>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row>
    <row r="106" spans="2:78" ht="15" customHeight="1" x14ac:dyDescent="0.3">
      <c r="E106" s="2" t="s">
        <v>146</v>
      </c>
      <c r="F106" s="205"/>
      <c r="G106" s="205"/>
      <c r="H106" s="205"/>
      <c r="I106" s="205"/>
      <c r="J106" s="205"/>
      <c r="K106" s="205"/>
      <c r="L106" s="205"/>
      <c r="M106" s="205"/>
      <c r="N106" s="205"/>
      <c r="O106" s="205"/>
      <c r="P106" s="205"/>
      <c r="Q106" s="205"/>
      <c r="R106" s="205"/>
      <c r="S106" s="205"/>
      <c r="T106" s="205"/>
      <c r="U106" s="205"/>
      <c r="AD106" s="2"/>
      <c r="AE106" s="4"/>
      <c r="AF106" s="4"/>
      <c r="AG106" s="4"/>
      <c r="AH106" s="4"/>
      <c r="AI106" s="4"/>
      <c r="AJ106" s="4"/>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row>
    <row r="107" spans="2:78" ht="15" customHeight="1" x14ac:dyDescent="0.3">
      <c r="E107" s="2" t="s">
        <v>147</v>
      </c>
      <c r="F107" s="207"/>
      <c r="G107" s="207"/>
      <c r="H107" s="207"/>
      <c r="I107" s="207"/>
      <c r="J107" s="207"/>
      <c r="K107" s="207"/>
      <c r="L107" s="207"/>
      <c r="M107" s="207"/>
      <c r="N107" s="207"/>
      <c r="O107" s="207"/>
      <c r="P107" s="207"/>
      <c r="Q107" s="207"/>
      <c r="R107" s="207"/>
      <c r="S107" s="207"/>
      <c r="T107" s="207"/>
      <c r="U107" s="207"/>
      <c r="AD107" s="2"/>
      <c r="AE107" s="4"/>
      <c r="AF107" s="4"/>
      <c r="AG107" s="4"/>
      <c r="AH107" s="4"/>
      <c r="AI107" s="4"/>
      <c r="AJ107" s="4"/>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row>
    <row r="108" spans="2:78" ht="15" customHeight="1" x14ac:dyDescent="0.3">
      <c r="E108" s="2" t="s">
        <v>372</v>
      </c>
      <c r="F108" s="207"/>
      <c r="G108" s="207"/>
      <c r="H108" s="207"/>
      <c r="I108" s="207"/>
      <c r="J108" s="207"/>
      <c r="K108" s="207"/>
      <c r="L108" s="207"/>
      <c r="M108" s="207"/>
      <c r="N108" s="207"/>
      <c r="O108" s="207"/>
      <c r="P108" s="207"/>
      <c r="Q108" s="207"/>
      <c r="R108" s="207"/>
      <c r="S108" s="207"/>
      <c r="T108" s="207"/>
      <c r="U108" s="207"/>
      <c r="X108" s="2" t="s">
        <v>150</v>
      </c>
      <c r="Y108" s="206"/>
      <c r="Z108" s="206"/>
      <c r="AA108" s="206"/>
      <c r="AB108" s="206"/>
      <c r="AD108" s="2"/>
      <c r="AF108" s="2" t="s">
        <v>151</v>
      </c>
      <c r="AG108" s="206"/>
      <c r="AH108" s="206"/>
      <c r="AI108" s="206"/>
      <c r="AJ108" s="20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row>
    <row r="109" spans="2:78" ht="15" customHeight="1" x14ac:dyDescent="0.3">
      <c r="E109" s="2" t="s">
        <v>432</v>
      </c>
      <c r="F109" s="207"/>
      <c r="G109" s="207"/>
      <c r="H109" s="207"/>
      <c r="I109" s="207"/>
      <c r="J109" s="207"/>
      <c r="K109" s="207"/>
      <c r="L109" s="207"/>
      <c r="M109" s="207"/>
      <c r="N109" s="207"/>
      <c r="O109" s="207"/>
      <c r="P109" s="207"/>
      <c r="Q109" s="207"/>
      <c r="R109" s="207"/>
      <c r="S109" s="207"/>
      <c r="T109" s="207"/>
      <c r="U109" s="207"/>
      <c r="X109" s="2"/>
      <c r="Y109" s="2"/>
      <c r="Z109" s="2"/>
      <c r="AA109" s="2"/>
      <c r="AB109" s="2"/>
      <c r="AC109" s="2"/>
      <c r="AD109" s="2"/>
      <c r="AE109" s="2"/>
      <c r="AF109" s="2"/>
      <c r="AG109" s="2"/>
      <c r="AH109" s="2"/>
      <c r="AI109" s="2"/>
      <c r="AJ109" s="2"/>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row>
    <row r="110" spans="2:78" ht="15" customHeight="1" x14ac:dyDescent="0.3">
      <c r="E110" s="2" t="s">
        <v>148</v>
      </c>
      <c r="F110" s="207"/>
      <c r="G110" s="207"/>
      <c r="H110" s="207"/>
      <c r="I110" s="207"/>
      <c r="J110" s="207"/>
      <c r="K110" s="207"/>
      <c r="L110" s="207"/>
      <c r="M110" s="207"/>
      <c r="N110" s="207"/>
      <c r="O110" s="207"/>
      <c r="P110" s="207"/>
      <c r="Q110" s="207"/>
      <c r="R110" s="207"/>
      <c r="S110" s="207"/>
      <c r="T110" s="207"/>
      <c r="U110" s="207"/>
      <c r="AD110" s="2" t="s">
        <v>152</v>
      </c>
      <c r="AE110" s="226"/>
      <c r="AF110" s="226"/>
      <c r="AG110" s="226"/>
      <c r="AH110" s="226"/>
      <c r="AI110" s="226"/>
      <c r="AJ110" s="22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row>
    <row r="111" spans="2:78" ht="4.95" customHeight="1" x14ac:dyDescent="0.3">
      <c r="B111" s="2"/>
      <c r="AD111" s="2"/>
      <c r="AE111" s="4"/>
      <c r="AF111" s="4"/>
      <c r="AG111" s="4"/>
      <c r="AH111" s="4"/>
      <c r="AI111" s="4"/>
      <c r="AJ111" s="4"/>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row>
    <row r="112" spans="2:78" ht="15" customHeight="1" x14ac:dyDescent="0.3">
      <c r="B112" s="1" t="s">
        <v>337</v>
      </c>
      <c r="X112" s="77"/>
      <c r="Y112" s="40" t="s">
        <v>145</v>
      </c>
      <c r="AF112" s="4"/>
      <c r="AG112" s="4"/>
      <c r="AH112" s="4"/>
      <c r="AI112" s="4"/>
      <c r="AJ112" s="4"/>
      <c r="AQ112" s="128">
        <f>IF(ISBLANK(X112),1,2)</f>
        <v>1</v>
      </c>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row>
    <row r="113" spans="2:78" ht="15" customHeight="1" x14ac:dyDescent="0.3">
      <c r="E113" s="2" t="s">
        <v>149</v>
      </c>
      <c r="F113" s="205"/>
      <c r="G113" s="205"/>
      <c r="H113" s="205"/>
      <c r="I113" s="205"/>
      <c r="J113" s="205"/>
      <c r="K113" s="205"/>
      <c r="L113" s="205"/>
      <c r="M113" s="205"/>
      <c r="N113" s="205"/>
      <c r="O113" s="205"/>
      <c r="P113" s="205"/>
      <c r="Q113" s="205"/>
      <c r="R113" s="205"/>
      <c r="S113" s="205"/>
      <c r="T113" s="205"/>
      <c r="U113" s="205"/>
      <c r="AD113" s="2"/>
      <c r="AE113" s="4"/>
      <c r="AF113" s="4"/>
      <c r="AG113" s="4"/>
      <c r="AH113" s="4"/>
      <c r="AI113" s="4"/>
      <c r="AJ113" s="4"/>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row>
    <row r="114" spans="2:78" ht="15" customHeight="1" x14ac:dyDescent="0.3">
      <c r="E114" s="2" t="s">
        <v>147</v>
      </c>
      <c r="F114" s="207"/>
      <c r="G114" s="207"/>
      <c r="H114" s="207"/>
      <c r="I114" s="207"/>
      <c r="J114" s="207"/>
      <c r="K114" s="207"/>
      <c r="L114" s="207"/>
      <c r="M114" s="207"/>
      <c r="N114" s="207"/>
      <c r="O114" s="207"/>
      <c r="P114" s="207"/>
      <c r="Q114" s="207"/>
      <c r="R114" s="207"/>
      <c r="S114" s="207"/>
      <c r="T114" s="207"/>
      <c r="U114" s="207"/>
      <c r="AD114" s="2"/>
      <c r="AE114" s="4"/>
      <c r="AF114" s="4"/>
      <c r="AG114" s="4"/>
      <c r="AH114" s="4"/>
      <c r="AI114" s="4"/>
      <c r="AJ114" s="4"/>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row>
    <row r="115" spans="2:78" ht="15" customHeight="1" x14ac:dyDescent="0.3">
      <c r="E115" s="2" t="s">
        <v>372</v>
      </c>
      <c r="F115" s="207"/>
      <c r="G115" s="207"/>
      <c r="H115" s="207"/>
      <c r="I115" s="207"/>
      <c r="J115" s="207"/>
      <c r="K115" s="207"/>
      <c r="L115" s="207"/>
      <c r="M115" s="207"/>
      <c r="N115" s="207"/>
      <c r="O115" s="207"/>
      <c r="P115" s="207"/>
      <c r="Q115" s="207"/>
      <c r="R115" s="207"/>
      <c r="S115" s="207"/>
      <c r="T115" s="207"/>
      <c r="U115" s="207"/>
      <c r="X115" s="2" t="s">
        <v>150</v>
      </c>
      <c r="Y115" s="206"/>
      <c r="Z115" s="206"/>
      <c r="AA115" s="206"/>
      <c r="AB115" s="206"/>
      <c r="AD115" s="2"/>
      <c r="AF115" s="2" t="s">
        <v>151</v>
      </c>
      <c r="AG115" s="206"/>
      <c r="AH115" s="206"/>
      <c r="AI115" s="206"/>
      <c r="AJ115" s="20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row>
    <row r="116" spans="2:78" ht="15" customHeight="1" x14ac:dyDescent="0.3">
      <c r="E116" s="2" t="s">
        <v>432</v>
      </c>
      <c r="F116" s="205"/>
      <c r="G116" s="205"/>
      <c r="H116" s="205"/>
      <c r="I116" s="205"/>
      <c r="J116" s="205"/>
      <c r="K116" s="205"/>
      <c r="L116" s="205"/>
      <c r="M116" s="205"/>
      <c r="N116" s="205"/>
      <c r="O116" s="205"/>
      <c r="P116" s="205"/>
      <c r="Q116" s="205"/>
      <c r="R116" s="205"/>
      <c r="S116" s="205"/>
      <c r="T116" s="205"/>
      <c r="U116" s="205"/>
      <c r="AD116" s="2"/>
      <c r="AE116" s="4"/>
      <c r="AF116" s="4"/>
      <c r="AG116" s="4"/>
      <c r="AH116" s="4"/>
      <c r="AI116" s="4"/>
      <c r="AJ116" s="4"/>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row>
    <row r="117" spans="2:78" ht="15" customHeight="1" x14ac:dyDescent="0.3">
      <c r="E117" s="2" t="s">
        <v>148</v>
      </c>
      <c r="F117" s="207"/>
      <c r="G117" s="207"/>
      <c r="H117" s="207"/>
      <c r="I117" s="207"/>
      <c r="J117" s="207"/>
      <c r="K117" s="207"/>
      <c r="L117" s="207"/>
      <c r="M117" s="207"/>
      <c r="N117" s="207"/>
      <c r="O117" s="207"/>
      <c r="P117" s="207"/>
      <c r="Q117" s="207"/>
      <c r="R117" s="207"/>
      <c r="S117" s="207"/>
      <c r="T117" s="207"/>
      <c r="U117" s="207"/>
      <c r="AD117" s="2" t="s">
        <v>152</v>
      </c>
      <c r="AE117" s="226"/>
      <c r="AF117" s="226"/>
      <c r="AG117" s="226"/>
      <c r="AH117" s="226"/>
      <c r="AI117" s="226"/>
      <c r="AJ117" s="22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row>
    <row r="118" spans="2:78" ht="15" customHeight="1" x14ac:dyDescent="0.3">
      <c r="AD118" s="2"/>
      <c r="AE118" s="4"/>
      <c r="AF118" s="4"/>
      <c r="AG118" s="4"/>
      <c r="AH118" s="4"/>
      <c r="AI118" s="4"/>
      <c r="AJ118" s="4"/>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row>
    <row r="119" spans="2:78" ht="15" customHeight="1" x14ac:dyDescent="0.3">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2:78" ht="15" customHeight="1" x14ac:dyDescent="0.3">
      <c r="B120" s="216">
        <f>Tables!$C$13</f>
        <v>45383</v>
      </c>
      <c r="C120" s="216"/>
      <c r="D120" s="216"/>
      <c r="E120" s="216"/>
      <c r="F120" s="216"/>
      <c r="G120" s="216"/>
      <c r="H120" s="216"/>
      <c r="R120" s="184" t="s">
        <v>295</v>
      </c>
      <c r="S120" s="184"/>
      <c r="T120" s="184"/>
      <c r="U120" s="184"/>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row>
    <row r="121" spans="2:78" ht="15" customHeight="1" x14ac:dyDescent="0.3">
      <c r="D121" s="2" t="s">
        <v>146</v>
      </c>
      <c r="E121" s="239">
        <f>$E$15</f>
        <v>0</v>
      </c>
      <c r="F121" s="239"/>
      <c r="G121" s="239"/>
      <c r="H121" s="239"/>
      <c r="I121" s="239"/>
      <c r="J121" s="239"/>
      <c r="K121" s="239"/>
      <c r="L121" s="239"/>
      <c r="M121" s="239"/>
      <c r="N121" s="239"/>
      <c r="O121" s="239"/>
      <c r="P121" s="239"/>
      <c r="Q121" s="239"/>
      <c r="R121" s="239"/>
      <c r="S121" s="239"/>
      <c r="T121" s="239"/>
      <c r="U121" s="239"/>
      <c r="V121" s="239"/>
      <c r="W121" s="239"/>
      <c r="X121" s="239"/>
      <c r="Y121" s="239"/>
      <c r="AD121" s="2" t="s">
        <v>192</v>
      </c>
      <c r="AE121" s="280">
        <f>$AE$15</f>
        <v>0</v>
      </c>
      <c r="AF121" s="262"/>
      <c r="AG121" s="262"/>
      <c r="AH121" s="262"/>
      <c r="AI121" s="262"/>
      <c r="AJ121" s="262"/>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row>
    <row r="122" spans="2:78" ht="15" customHeight="1" x14ac:dyDescent="0.3">
      <c r="AD122" s="2" t="s">
        <v>193</v>
      </c>
      <c r="AE122" s="262">
        <f>$AE$16</f>
        <v>0</v>
      </c>
      <c r="AF122" s="262"/>
      <c r="AG122" s="262"/>
      <c r="AH122" s="262"/>
      <c r="AI122" s="262"/>
      <c r="AJ122" s="262"/>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row>
    <row r="123" spans="2:78" ht="15" customHeight="1" x14ac:dyDescent="0.3">
      <c r="B123" s="1" t="s">
        <v>335</v>
      </c>
      <c r="C123" s="1"/>
      <c r="D123" s="1"/>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row>
    <row r="124" spans="2:78" ht="4.95" customHeight="1" x14ac:dyDescent="0.3">
      <c r="B124" s="1"/>
      <c r="C124" s="1"/>
      <c r="D124" s="1"/>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row>
    <row r="125" spans="2:78" ht="15" customHeight="1" x14ac:dyDescent="0.3">
      <c r="B125" s="40" t="s">
        <v>334</v>
      </c>
      <c r="C125" s="1"/>
      <c r="D125" s="1"/>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row>
    <row r="126" spans="2:78" ht="4.95" customHeight="1" x14ac:dyDescent="0.3">
      <c r="B126" s="1"/>
      <c r="C126" s="1"/>
      <c r="D126" s="1"/>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row>
    <row r="127" spans="2:78" ht="15" customHeight="1" x14ac:dyDescent="0.3">
      <c r="B127" s="77"/>
      <c r="D127" s="108" t="str">
        <f>"Is being properly maintained in accordance with the "&amp;Tables!C23&amp;"'s requirements and functioning as it was designed."</f>
        <v>Is being properly maintained in accordance with the City's requirements and functioning as it was designed.</v>
      </c>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M127" s="128">
        <f>IF(AND(ISBLANK(B127),ISBLANK(B129)),1,2)</f>
        <v>1</v>
      </c>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row>
    <row r="128" spans="2:78" ht="4.95" customHeight="1" x14ac:dyDescent="0.3">
      <c r="B128" s="1"/>
      <c r="C128" s="1"/>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row>
    <row r="129" spans="2:78" ht="15" customHeight="1" x14ac:dyDescent="0.3">
      <c r="B129" s="77"/>
      <c r="C129" s="1"/>
      <c r="D129" s="251" t="s">
        <v>333</v>
      </c>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row>
    <row r="130" spans="2:78" ht="15" customHeight="1" x14ac:dyDescent="0.3">
      <c r="B130" s="1"/>
      <c r="C130" s="1"/>
      <c r="D130" s="251"/>
      <c r="E130" s="251"/>
      <c r="F130" s="251"/>
      <c r="G130" s="251"/>
      <c r="H130" s="251"/>
      <c r="I130" s="251"/>
      <c r="J130" s="251"/>
      <c r="K130" s="251"/>
      <c r="L130" s="251"/>
      <c r="M130" s="251"/>
      <c r="N130" s="251"/>
      <c r="O130" s="251"/>
      <c r="P130" s="251"/>
      <c r="Q130" s="251"/>
      <c r="R130" s="251"/>
      <c r="S130" s="251"/>
      <c r="T130" s="251"/>
      <c r="U130" s="251"/>
      <c r="V130" s="251"/>
      <c r="W130" s="251"/>
      <c r="X130" s="251"/>
      <c r="Y130" s="251"/>
      <c r="Z130" s="251"/>
      <c r="AA130" s="251"/>
      <c r="AB130" s="251"/>
      <c r="AC130" s="251"/>
      <c r="AD130" s="251"/>
      <c r="AE130" s="251"/>
      <c r="AF130" s="251"/>
      <c r="AG130" s="251"/>
      <c r="AH130" s="251"/>
      <c r="AI130" s="251"/>
      <c r="AJ130" s="251"/>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row>
    <row r="131" spans="2:78" ht="15" customHeight="1" x14ac:dyDescent="0.3">
      <c r="B131" s="1"/>
      <c r="C131" s="1"/>
      <c r="D131" s="251"/>
      <c r="E131" s="251"/>
      <c r="F131" s="251"/>
      <c r="G131" s="251"/>
      <c r="H131" s="251"/>
      <c r="I131" s="251"/>
      <c r="J131" s="251"/>
      <c r="K131" s="251"/>
      <c r="L131" s="251"/>
      <c r="M131" s="251"/>
      <c r="N131" s="251"/>
      <c r="O131" s="251"/>
      <c r="P131" s="251"/>
      <c r="Q131" s="251"/>
      <c r="R131" s="251"/>
      <c r="S131" s="251"/>
      <c r="T131" s="251"/>
      <c r="U131" s="251"/>
      <c r="V131" s="251"/>
      <c r="W131" s="251"/>
      <c r="X131" s="251"/>
      <c r="Y131" s="251"/>
      <c r="Z131" s="251"/>
      <c r="AA131" s="251"/>
      <c r="AB131" s="251"/>
      <c r="AC131" s="251"/>
      <c r="AD131" s="251"/>
      <c r="AE131" s="251"/>
      <c r="AF131" s="251"/>
      <c r="AG131" s="251"/>
      <c r="AH131" s="251"/>
      <c r="AI131" s="251"/>
      <c r="AJ131" s="251"/>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row>
    <row r="132" spans="2:78" ht="15" customHeight="1" x14ac:dyDescent="0.3">
      <c r="B132" s="77"/>
      <c r="C132" s="1"/>
      <c r="D132" s="120" t="s">
        <v>388</v>
      </c>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row>
    <row r="133" spans="2:78" ht="4.95" customHeight="1" x14ac:dyDescent="0.3">
      <c r="C133" s="1"/>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row>
    <row r="134" spans="2:78" ht="15" customHeight="1" x14ac:dyDescent="0.3">
      <c r="D134" s="2" t="s">
        <v>206</v>
      </c>
      <c r="E134" s="205"/>
      <c r="F134" s="205"/>
      <c r="G134" s="205"/>
      <c r="H134" s="205"/>
      <c r="I134" s="205"/>
      <c r="J134" s="205"/>
      <c r="K134" s="205"/>
      <c r="L134" s="205"/>
      <c r="M134" s="205"/>
      <c r="N134" s="205"/>
      <c r="O134" s="205"/>
      <c r="P134" s="205"/>
      <c r="Q134" s="205"/>
      <c r="R134" s="205"/>
      <c r="S134" s="205"/>
      <c r="T134" s="205"/>
      <c r="U134" s="205"/>
      <c r="V134" s="205"/>
      <c r="Y134" s="13" t="s">
        <v>330</v>
      </c>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row>
    <row r="135" spans="2:78" ht="15" customHeight="1" x14ac:dyDescent="0.3">
      <c r="D135" s="2" t="s">
        <v>146</v>
      </c>
      <c r="E135" s="207"/>
      <c r="F135" s="207"/>
      <c r="G135" s="207"/>
      <c r="H135" s="207"/>
      <c r="I135" s="207"/>
      <c r="J135" s="207"/>
      <c r="K135" s="207"/>
      <c r="L135" s="207"/>
      <c r="M135" s="207"/>
      <c r="N135" s="207"/>
      <c r="O135" s="207"/>
      <c r="P135" s="207"/>
      <c r="Q135" s="207"/>
      <c r="R135" s="207"/>
      <c r="S135" s="207"/>
      <c r="T135" s="207"/>
      <c r="U135" s="207"/>
      <c r="V135" s="207"/>
      <c r="Z135" s="281"/>
      <c r="AA135" s="281"/>
      <c r="AB135" s="281"/>
      <c r="AC135" s="281"/>
      <c r="AD135" s="281"/>
      <c r="AE135" s="281"/>
      <c r="AF135" s="281"/>
      <c r="AG135" s="281"/>
      <c r="AH135" s="281"/>
      <c r="AI135" s="281"/>
      <c r="AJ135" s="281"/>
      <c r="AM135" s="128">
        <f>IF(ISBLANK(Z135),1,2)</f>
        <v>1</v>
      </c>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row>
    <row r="136" spans="2:78" ht="15" customHeight="1" x14ac:dyDescent="0.3">
      <c r="D136" s="2" t="s">
        <v>147</v>
      </c>
      <c r="E136" s="207"/>
      <c r="F136" s="207"/>
      <c r="G136" s="207"/>
      <c r="H136" s="207"/>
      <c r="I136" s="207"/>
      <c r="J136" s="207"/>
      <c r="K136" s="207"/>
      <c r="L136" s="207"/>
      <c r="M136" s="207"/>
      <c r="N136" s="85"/>
      <c r="O136" s="85"/>
      <c r="P136" s="85"/>
      <c r="Q136" s="139" t="s">
        <v>150</v>
      </c>
      <c r="R136" s="207"/>
      <c r="S136" s="207"/>
      <c r="T136" s="207"/>
      <c r="U136" s="207"/>
      <c r="V136" s="207"/>
      <c r="Y136" s="119"/>
      <c r="Z136" s="282"/>
      <c r="AA136" s="282"/>
      <c r="AB136" s="282"/>
      <c r="AC136" s="282"/>
      <c r="AD136" s="282"/>
      <c r="AE136" s="282"/>
      <c r="AF136" s="282"/>
      <c r="AG136" s="282"/>
      <c r="AH136" s="282"/>
      <c r="AI136" s="282"/>
      <c r="AJ136" s="282"/>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row>
    <row r="137" spans="2:78" ht="15" customHeight="1" x14ac:dyDescent="0.3">
      <c r="D137" s="2" t="s">
        <v>431</v>
      </c>
      <c r="E137" s="207"/>
      <c r="F137" s="207"/>
      <c r="G137" s="207"/>
      <c r="H137" s="207"/>
      <c r="I137" s="207"/>
      <c r="J137" s="207"/>
      <c r="K137" s="207"/>
      <c r="L137" s="207"/>
      <c r="M137" s="207"/>
      <c r="Q137" s="2" t="s">
        <v>151</v>
      </c>
      <c r="R137" s="207"/>
      <c r="S137" s="207"/>
      <c r="T137" s="207"/>
      <c r="U137" s="207"/>
      <c r="V137" s="207"/>
      <c r="Y137" s="40" t="s">
        <v>331</v>
      </c>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row>
    <row r="138" spans="2:78" ht="15" customHeight="1" x14ac:dyDescent="0.3">
      <c r="C138" s="86"/>
      <c r="D138" s="2" t="s">
        <v>148</v>
      </c>
      <c r="E138" s="225"/>
      <c r="F138" s="225"/>
      <c r="G138" s="225"/>
      <c r="H138" s="225"/>
      <c r="I138" s="225"/>
      <c r="J138" s="225"/>
      <c r="K138" s="225"/>
      <c r="L138" s="225"/>
      <c r="M138" s="225"/>
      <c r="N138" s="217"/>
      <c r="O138" s="217"/>
      <c r="P138" s="217"/>
      <c r="Q138" s="217"/>
      <c r="R138" s="225"/>
      <c r="S138" s="225"/>
      <c r="T138" s="225"/>
      <c r="U138" s="225"/>
      <c r="V138" s="225"/>
      <c r="W138" s="86"/>
      <c r="X138" s="86"/>
      <c r="Z138" s="243" t="str">
        <f>IF(ISBLANK(Z135),"Type?",VLOOKUP(Z135,T_Reg[#All],2))</f>
        <v>Type?</v>
      </c>
      <c r="AA138" s="243"/>
      <c r="AB138" s="243"/>
      <c r="AC138" s="243"/>
      <c r="AD138" s="243"/>
      <c r="AE138" s="205"/>
      <c r="AF138" s="205"/>
      <c r="AG138" s="205"/>
      <c r="AH138" s="205"/>
      <c r="AI138" s="205"/>
      <c r="AJ138" s="205"/>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row>
    <row r="139" spans="2:78" ht="15" customHeight="1" x14ac:dyDescent="0.3">
      <c r="D139" s="2" t="s">
        <v>152</v>
      </c>
      <c r="E139" s="226"/>
      <c r="F139" s="226"/>
      <c r="G139" s="226"/>
      <c r="H139" s="226"/>
      <c r="I139" s="226"/>
      <c r="U139" s="74"/>
      <c r="V139" s="74"/>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row>
    <row r="140" spans="2:78" ht="15" customHeight="1" x14ac:dyDescent="0.3">
      <c r="D140" s="2"/>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row>
    <row r="141" spans="2:78" ht="15" customHeight="1" x14ac:dyDescent="0.3">
      <c r="D141" s="2" t="s">
        <v>207</v>
      </c>
      <c r="E141" s="111"/>
      <c r="F141" s="111"/>
      <c r="G141" s="111"/>
      <c r="H141" s="111"/>
      <c r="I141" s="111"/>
      <c r="J141" s="111"/>
      <c r="K141" s="111"/>
      <c r="L141" s="111"/>
      <c r="M141" s="111"/>
      <c r="N141" s="111"/>
      <c r="O141" s="111"/>
      <c r="P141" s="111"/>
      <c r="Q141" s="111"/>
      <c r="R141" s="111"/>
      <c r="S141" s="111"/>
      <c r="T141" s="111"/>
      <c r="U141" s="111"/>
      <c r="V141" s="111"/>
      <c r="Y141" s="2" t="s">
        <v>21</v>
      </c>
      <c r="Z141" s="276"/>
      <c r="AA141" s="276"/>
      <c r="AB141" s="276"/>
      <c r="AC141" s="276"/>
      <c r="AD141" s="276"/>
      <c r="AE141" s="27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row>
    <row r="142" spans="2:78" ht="15" customHeight="1" x14ac:dyDescent="0.3">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row>
    <row r="143" spans="2:78" ht="15" customHeight="1" x14ac:dyDescent="0.3">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row>
    <row r="144" spans="2:78" ht="15" customHeight="1" x14ac:dyDescent="0.3">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row>
    <row r="145" spans="2:78" ht="15" customHeight="1" x14ac:dyDescent="0.3">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row>
    <row r="146" spans="2:78" ht="15" customHeight="1" x14ac:dyDescent="0.3">
      <c r="B146" s="121"/>
      <c r="C146" s="121"/>
      <c r="D146" s="121"/>
      <c r="E146" s="121"/>
      <c r="F146" s="121"/>
      <c r="G146" s="121"/>
      <c r="H146" s="121"/>
      <c r="R146" s="4"/>
      <c r="S146" s="4"/>
      <c r="T146" s="4"/>
      <c r="U146" s="4"/>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row>
    <row r="147" spans="2:78" ht="15" customHeight="1" x14ac:dyDescent="0.3">
      <c r="B147" s="121"/>
      <c r="C147" s="121"/>
      <c r="D147" s="121"/>
      <c r="E147" s="121"/>
      <c r="F147" s="121"/>
      <c r="G147" s="121"/>
      <c r="H147" s="121"/>
      <c r="R147" s="4"/>
      <c r="S147" s="4"/>
      <c r="T147" s="4"/>
      <c r="U147" s="4"/>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row>
    <row r="148" spans="2:78" ht="15" customHeight="1" x14ac:dyDescent="0.3"/>
    <row r="149" spans="2:78" ht="15" customHeight="1" x14ac:dyDescent="0.3"/>
    <row r="150" spans="2:78" ht="15" customHeight="1" x14ac:dyDescent="0.3"/>
    <row r="151" spans="2:78" ht="15" customHeight="1" x14ac:dyDescent="0.3"/>
    <row r="152" spans="2:78" ht="15" customHeight="1" x14ac:dyDescent="0.3"/>
    <row r="153" spans="2:78" ht="15" customHeight="1" x14ac:dyDescent="0.3"/>
    <row r="154" spans="2:78" ht="15" customHeight="1" x14ac:dyDescent="0.3"/>
    <row r="155" spans="2:78" ht="15" customHeight="1" x14ac:dyDescent="0.3"/>
    <row r="156" spans="2:78" ht="15" customHeight="1" x14ac:dyDescent="0.3"/>
    <row r="157" spans="2:78" ht="15" customHeight="1" x14ac:dyDescent="0.3"/>
    <row r="158" spans="2:78" ht="15" customHeight="1" x14ac:dyDescent="0.3"/>
    <row r="159" spans="2:78" ht="15" customHeight="1" x14ac:dyDescent="0.3"/>
    <row r="160" spans="2:78" ht="15" customHeight="1" x14ac:dyDescent="0.3"/>
    <row r="161" spans="2:21" ht="15" customHeight="1" x14ac:dyDescent="0.3"/>
    <row r="162" spans="2:21" ht="15" customHeight="1" x14ac:dyDescent="0.3"/>
    <row r="163" spans="2:21" ht="15" customHeight="1" x14ac:dyDescent="0.3"/>
    <row r="164" spans="2:21" ht="15" customHeight="1" x14ac:dyDescent="0.3"/>
    <row r="165" spans="2:21" ht="15" customHeight="1" x14ac:dyDescent="0.3"/>
    <row r="166" spans="2:21" ht="15" customHeight="1" x14ac:dyDescent="0.3">
      <c r="B166" s="216">
        <f>Tables!$C$13</f>
        <v>45383</v>
      </c>
      <c r="C166" s="216"/>
      <c r="D166" s="216"/>
      <c r="E166" s="216"/>
      <c r="F166" s="216"/>
      <c r="G166" s="216"/>
      <c r="H166" s="216"/>
      <c r="R166" s="184" t="s">
        <v>294</v>
      </c>
      <c r="S166" s="184"/>
      <c r="T166" s="184"/>
      <c r="U166" s="184"/>
    </row>
    <row r="167" spans="2:21" ht="15" customHeight="1" x14ac:dyDescent="0.3"/>
    <row r="168" spans="2:21" ht="15" customHeight="1" x14ac:dyDescent="0.3"/>
    <row r="169" spans="2:21" ht="15" customHeight="1" x14ac:dyDescent="0.3"/>
  </sheetData>
  <sheetProtection algorithmName="SHA-512" hashValue="/vHV5g6G0YRqN09MLonggOcTP1adalUGhDRHX/Z+UFMQN13cOmCWohaAI8OnSj6eoP6wnc1HDB2c6ThDoOrWVQ==" saltValue="hSv9OZeFOLMQXH4vM+lx4A==" spinCount="100000" sheet="1" objects="1" scenarios="1" selectLockedCells="1"/>
  <mergeCells count="95">
    <mergeCell ref="W45:AJ45"/>
    <mergeCell ref="AA49:AJ49"/>
    <mergeCell ref="AA57:AJ57"/>
    <mergeCell ref="G45:I45"/>
    <mergeCell ref="L45:N45"/>
    <mergeCell ref="Q45:S45"/>
    <mergeCell ref="G47:I47"/>
    <mergeCell ref="L47:N47"/>
    <mergeCell ref="L49:N49"/>
    <mergeCell ref="Q47:S47"/>
    <mergeCell ref="Q49:S49"/>
    <mergeCell ref="G29:I29"/>
    <mergeCell ref="G31:I31"/>
    <mergeCell ref="L29:N29"/>
    <mergeCell ref="L31:N31"/>
    <mergeCell ref="Q29:S29"/>
    <mergeCell ref="Q31:S31"/>
    <mergeCell ref="B166:H166"/>
    <mergeCell ref="R166:U166"/>
    <mergeCell ref="E138:V138"/>
    <mergeCell ref="Z138:AD138"/>
    <mergeCell ref="E137:M137"/>
    <mergeCell ref="R137:V137"/>
    <mergeCell ref="E139:I139"/>
    <mergeCell ref="AE138:AJ138"/>
    <mergeCell ref="Z141:AE141"/>
    <mergeCell ref="AE122:AJ122"/>
    <mergeCell ref="D129:AJ131"/>
    <mergeCell ref="E134:V134"/>
    <mergeCell ref="E135:V135"/>
    <mergeCell ref="Z135:AJ136"/>
    <mergeCell ref="E136:M136"/>
    <mergeCell ref="R136:V136"/>
    <mergeCell ref="E121:Y121"/>
    <mergeCell ref="AE121:AJ121"/>
    <mergeCell ref="F113:U113"/>
    <mergeCell ref="F114:U114"/>
    <mergeCell ref="F115:U115"/>
    <mergeCell ref="Y115:AB115"/>
    <mergeCell ref="AG115:AJ115"/>
    <mergeCell ref="F116:U116"/>
    <mergeCell ref="F117:U117"/>
    <mergeCell ref="AE117:AJ117"/>
    <mergeCell ref="B120:H120"/>
    <mergeCell ref="R120:U120"/>
    <mergeCell ref="F107:U107"/>
    <mergeCell ref="F108:U108"/>
    <mergeCell ref="Y108:AB108"/>
    <mergeCell ref="AG108:AJ108"/>
    <mergeCell ref="F110:U110"/>
    <mergeCell ref="AE110:AJ110"/>
    <mergeCell ref="F109:U109"/>
    <mergeCell ref="F106:U106"/>
    <mergeCell ref="E18:Y18"/>
    <mergeCell ref="AE18:AJ18"/>
    <mergeCell ref="E19:Y19"/>
    <mergeCell ref="AE19:AJ19"/>
    <mergeCell ref="B65:H65"/>
    <mergeCell ref="R65:U65"/>
    <mergeCell ref="G49:I49"/>
    <mergeCell ref="Z78:AC78"/>
    <mergeCell ref="Z86:AC86"/>
    <mergeCell ref="E66:Y66"/>
    <mergeCell ref="AE66:AJ66"/>
    <mergeCell ref="AE67:AJ67"/>
    <mergeCell ref="G27:I27"/>
    <mergeCell ref="L27:N27"/>
    <mergeCell ref="Q27:S27"/>
    <mergeCell ref="AE17:AJ17"/>
    <mergeCell ref="Q1:AK4"/>
    <mergeCell ref="BF1:BY4"/>
    <mergeCell ref="AS6:BG7"/>
    <mergeCell ref="E7:X7"/>
    <mergeCell ref="AE7:AJ7"/>
    <mergeCell ref="F11:AJ11"/>
    <mergeCell ref="AE14:AJ14"/>
    <mergeCell ref="E15:Y15"/>
    <mergeCell ref="AE15:AJ15"/>
    <mergeCell ref="E16:Y16"/>
    <mergeCell ref="AE16:AJ16"/>
    <mergeCell ref="V17:Y17"/>
    <mergeCell ref="N17:Q17"/>
    <mergeCell ref="E17:J17"/>
    <mergeCell ref="Z76:AC76"/>
    <mergeCell ref="Z84:AC84"/>
    <mergeCell ref="J88:AJ90"/>
    <mergeCell ref="J91:AJ93"/>
    <mergeCell ref="Y97:Z97"/>
    <mergeCell ref="Y99:Z99"/>
    <mergeCell ref="Y101:Z101"/>
    <mergeCell ref="Y103:Z103"/>
    <mergeCell ref="AC97:AI97"/>
    <mergeCell ref="AC99:AI99"/>
    <mergeCell ref="AC101:AI101"/>
    <mergeCell ref="AC103:AI103"/>
  </mergeCells>
  <conditionalFormatting sqref="B127 B129">
    <cfRule type="expression" dxfId="93" priority="254">
      <formula>$AM$127=1</formula>
    </cfRule>
  </conditionalFormatting>
  <conditionalFormatting sqref="C70 R70">
    <cfRule type="expression" dxfId="92" priority="303">
      <formula>$AM$70=1</formula>
    </cfRule>
  </conditionalFormatting>
  <conditionalFormatting sqref="E134:E135 E138:E139">
    <cfRule type="expression" dxfId="91" priority="5">
      <formula>ISBLANK(E134)</formula>
    </cfRule>
  </conditionalFormatting>
  <conditionalFormatting sqref="E17:J17">
    <cfRule type="expression" dxfId="90" priority="13">
      <formula>ISBLANK(E17)</formula>
    </cfRule>
  </conditionalFormatting>
  <conditionalFormatting sqref="E136:M137 R136:V137">
    <cfRule type="expression" dxfId="89" priority="4">
      <formula>ISBLANK(E136)</formula>
    </cfRule>
  </conditionalFormatting>
  <conditionalFormatting sqref="E15:Y16 E18:Y19 AE19:AJ19">
    <cfRule type="expression" dxfId="88" priority="300">
      <formula>ISBLANK(E15)</formula>
    </cfRule>
  </conditionalFormatting>
  <conditionalFormatting sqref="E66:Y66 AE66:AJ67">
    <cfRule type="cellIs" dxfId="87" priority="253" operator="equal">
      <formula>0</formula>
    </cfRule>
  </conditionalFormatting>
  <conditionalFormatting sqref="E121:Y121 AE121:AJ122">
    <cfRule type="cellIs" dxfId="86" priority="234" operator="equal">
      <formula>0</formula>
    </cfRule>
  </conditionalFormatting>
  <conditionalFormatting sqref="F106:U108 Y108:AB108 AG108:AJ108 F109 F110:U110 AE110:AJ110">
    <cfRule type="expression" dxfId="85" priority="258">
      <formula>ISBLANK(F106)</formula>
    </cfRule>
  </conditionalFormatting>
  <conditionalFormatting sqref="F113:U117 Y115:AB115 AG115:AJ115 AE117:AJ117">
    <cfRule type="expression" dxfId="84" priority="257">
      <formula>ISBLANK(F113)</formula>
    </cfRule>
    <cfRule type="expression" priority="255" stopIfTrue="1">
      <formula>$AQ$112=2</formula>
    </cfRule>
  </conditionalFormatting>
  <conditionalFormatting sqref="G21 M21">
    <cfRule type="expression" dxfId="83" priority="297">
      <formula>ISBLANK(G21)</formula>
    </cfRule>
  </conditionalFormatting>
  <conditionalFormatting sqref="G35 I35">
    <cfRule type="expression" dxfId="82" priority="184">
      <formula>$AM$27=2</formula>
    </cfRule>
    <cfRule type="expression" priority="122" stopIfTrue="1">
      <formula>$AM$35=2</formula>
    </cfRule>
  </conditionalFormatting>
  <conditionalFormatting sqref="G37 I37">
    <cfRule type="expression" dxfId="81" priority="121">
      <formula>$AM$27=2</formula>
    </cfRule>
    <cfRule type="expression" priority="120" stopIfTrue="1">
      <formula>$AM$37=2</formula>
    </cfRule>
  </conditionalFormatting>
  <conditionalFormatting sqref="G39 I39">
    <cfRule type="expression" priority="118" stopIfTrue="1">
      <formula>$AM$39=2</formula>
    </cfRule>
    <cfRule type="expression" dxfId="80" priority="119">
      <formula>$AM$27=2</formula>
    </cfRule>
  </conditionalFormatting>
  <conditionalFormatting sqref="G41 I41">
    <cfRule type="expression" priority="116" stopIfTrue="1">
      <formula>$AM$41=2</formula>
    </cfRule>
    <cfRule type="expression" dxfId="79" priority="117">
      <formula>$AM$27=2</formula>
    </cfRule>
  </conditionalFormatting>
  <conditionalFormatting sqref="G53 I53">
    <cfRule type="expression" priority="106" stopIfTrue="1">
      <formula>$AM$53=2</formula>
    </cfRule>
    <cfRule type="expression" dxfId="78" priority="107">
      <formula>$AM$45=2</formula>
    </cfRule>
  </conditionalFormatting>
  <conditionalFormatting sqref="G55 I55">
    <cfRule type="expression" priority="104" stopIfTrue="1">
      <formula>$AM$55=2</formula>
    </cfRule>
    <cfRule type="expression" dxfId="77" priority="105">
      <formula>$AM$45=2</formula>
    </cfRule>
  </conditionalFormatting>
  <conditionalFormatting sqref="G57 I57">
    <cfRule type="expression" priority="102" stopIfTrue="1">
      <formula>$AM$57=2</formula>
    </cfRule>
    <cfRule type="expression" dxfId="76" priority="103">
      <formula>$AM$45=2</formula>
    </cfRule>
  </conditionalFormatting>
  <conditionalFormatting sqref="G59 I59">
    <cfRule type="expression" priority="100" stopIfTrue="1">
      <formula>$AM$59=2</formula>
    </cfRule>
    <cfRule type="expression" dxfId="75" priority="101">
      <formula>$AM$45=2</formula>
    </cfRule>
  </conditionalFormatting>
  <conditionalFormatting sqref="G27:I27">
    <cfRule type="expression" priority="125" stopIfTrue="1">
      <formula>$AM$25=2</formula>
    </cfRule>
    <cfRule type="expression" dxfId="74" priority="190">
      <formula>$AM$27=1</formula>
    </cfRule>
    <cfRule type="cellIs" priority="189" stopIfTrue="1" operator="greaterThan">
      <formula>0</formula>
    </cfRule>
  </conditionalFormatting>
  <conditionalFormatting sqref="G29:I29">
    <cfRule type="expression" dxfId="73" priority="182">
      <formula>$AM$27=2</formula>
    </cfRule>
    <cfRule type="cellIs" priority="181" stopIfTrue="1" operator="greaterThan">
      <formula>0</formula>
    </cfRule>
  </conditionalFormatting>
  <conditionalFormatting sqref="G31:I31">
    <cfRule type="cellIs" priority="179" stopIfTrue="1" operator="greaterThan">
      <formula>0</formula>
    </cfRule>
    <cfRule type="expression" dxfId="72" priority="180">
      <formula>$AM$27=2</formula>
    </cfRule>
  </conditionalFormatting>
  <conditionalFormatting sqref="G45:I45">
    <cfRule type="expression" priority="150" stopIfTrue="1">
      <formula>$AM$43=2</formula>
    </cfRule>
    <cfRule type="expression" dxfId="71" priority="170">
      <formula>$AM$45=1</formula>
    </cfRule>
    <cfRule type="cellIs" priority="169" stopIfTrue="1" operator="greaterThan">
      <formula>0</formula>
    </cfRule>
  </conditionalFormatting>
  <conditionalFormatting sqref="G47:I47">
    <cfRule type="expression" dxfId="70" priority="168">
      <formula>$AM$45=2</formula>
    </cfRule>
    <cfRule type="cellIs" priority="167" stopIfTrue="1" operator="greaterThan">
      <formula>0</formula>
    </cfRule>
  </conditionalFormatting>
  <conditionalFormatting sqref="G49:I49">
    <cfRule type="expression" dxfId="69" priority="166">
      <formula>$AM$45=2</formula>
    </cfRule>
    <cfRule type="cellIs" priority="165" stopIfTrue="1" operator="greaterThan">
      <formula>0</formula>
    </cfRule>
  </conditionalFormatting>
  <conditionalFormatting sqref="J97 L97">
    <cfRule type="expression" dxfId="68" priority="1479">
      <formula>ISBLANK(J97)</formula>
    </cfRule>
    <cfRule type="expression" priority="17" stopIfTrue="1">
      <formula>$AP$97=2</formula>
    </cfRule>
  </conditionalFormatting>
  <conditionalFormatting sqref="J99 L99">
    <cfRule type="expression" dxfId="67" priority="9">
      <formula>ISBLANK(J99)</formula>
    </cfRule>
    <cfRule type="expression" priority="6" stopIfTrue="1">
      <formula>$AP$99=2</formula>
    </cfRule>
  </conditionalFormatting>
  <conditionalFormatting sqref="J101 L101">
    <cfRule type="expression" dxfId="66" priority="1465">
      <formula>ISBLANK(J101)</formula>
    </cfRule>
  </conditionalFormatting>
  <conditionalFormatting sqref="J103 L103">
    <cfRule type="expression" dxfId="65" priority="12">
      <formula>ISBLANK(J103)</formula>
    </cfRule>
  </conditionalFormatting>
  <conditionalFormatting sqref="L35 N35">
    <cfRule type="expression" dxfId="64" priority="141">
      <formula>$AN$27=2</formula>
    </cfRule>
    <cfRule type="expression" priority="115" stopIfTrue="1">
      <formula>$AN$35=2</formula>
    </cfRule>
  </conditionalFormatting>
  <conditionalFormatting sqref="L37 N37">
    <cfRule type="expression" dxfId="63" priority="137">
      <formula>$AN$27=2</formula>
    </cfRule>
    <cfRule type="expression" priority="114" stopIfTrue="1">
      <formula>$AN$37=2</formula>
    </cfRule>
  </conditionalFormatting>
  <conditionalFormatting sqref="L39 N39">
    <cfRule type="expression" priority="113" stopIfTrue="1">
      <formula>$AN$39=2</formula>
    </cfRule>
    <cfRule type="expression" dxfId="62" priority="135">
      <formula>$AN$27=2</formula>
    </cfRule>
  </conditionalFormatting>
  <conditionalFormatting sqref="L41 N41">
    <cfRule type="expression" dxfId="61" priority="133">
      <formula>$AN$27=2</formula>
    </cfRule>
    <cfRule type="expression" priority="112" stopIfTrue="1">
      <formula>$AN$41=2</formula>
    </cfRule>
  </conditionalFormatting>
  <conditionalFormatting sqref="L53 N53">
    <cfRule type="expression" dxfId="60" priority="99">
      <formula>$AN$45=2</formula>
    </cfRule>
    <cfRule type="expression" priority="98" stopIfTrue="1">
      <formula>$AN$53=2</formula>
    </cfRule>
  </conditionalFormatting>
  <conditionalFormatting sqref="L55 N55">
    <cfRule type="expression" priority="96" stopIfTrue="1">
      <formula>$AN$55=2</formula>
    </cfRule>
    <cfRule type="expression" dxfId="59" priority="97">
      <formula>$AN$45=2</formula>
    </cfRule>
  </conditionalFormatting>
  <conditionalFormatting sqref="L57 N57">
    <cfRule type="expression" dxfId="58" priority="95">
      <formula>$AN$45=2</formula>
    </cfRule>
    <cfRule type="expression" priority="94" stopIfTrue="1">
      <formula>$AN$57=2</formula>
    </cfRule>
  </conditionalFormatting>
  <conditionalFormatting sqref="L59 N59">
    <cfRule type="expression" priority="92" stopIfTrue="1">
      <formula>$AN$59=2</formula>
    </cfRule>
    <cfRule type="expression" dxfId="57" priority="93">
      <formula>$AN$45=2</formula>
    </cfRule>
  </conditionalFormatting>
  <conditionalFormatting sqref="L97 J97">
    <cfRule type="expression" priority="1476" stopIfTrue="1">
      <formula>$AM$97=2</formula>
    </cfRule>
  </conditionalFormatting>
  <conditionalFormatting sqref="L97">
    <cfRule type="expression" dxfId="56" priority="1475">
      <formula>$AN$97=2</formula>
    </cfRule>
  </conditionalFormatting>
  <conditionalFormatting sqref="L99 J99">
    <cfRule type="expression" priority="8" stopIfTrue="1">
      <formula>$AM$99=2</formula>
    </cfRule>
  </conditionalFormatting>
  <conditionalFormatting sqref="L99">
    <cfRule type="expression" dxfId="55" priority="7">
      <formula>$AN$99=2</formula>
    </cfRule>
  </conditionalFormatting>
  <conditionalFormatting sqref="L101 J101">
    <cfRule type="expression" priority="1462" stopIfTrue="1">
      <formula>$AM$101=2</formula>
    </cfRule>
  </conditionalFormatting>
  <conditionalFormatting sqref="L101">
    <cfRule type="expression" dxfId="54" priority="1461">
      <formula>$AN$101=2</formula>
    </cfRule>
  </conditionalFormatting>
  <conditionalFormatting sqref="L103 J103">
    <cfRule type="expression" priority="11" stopIfTrue="1">
      <formula>$AM$103=2</formula>
    </cfRule>
  </conditionalFormatting>
  <conditionalFormatting sqref="L103">
    <cfRule type="expression" dxfId="53" priority="10">
      <formula>$AN$103=2</formula>
    </cfRule>
  </conditionalFormatting>
  <conditionalFormatting sqref="L27:N27">
    <cfRule type="expression" priority="124" stopIfTrue="1">
      <formula>$AM$25=2</formula>
    </cfRule>
    <cfRule type="expression" dxfId="52" priority="188">
      <formula>$AN$27=1</formula>
    </cfRule>
    <cfRule type="cellIs" priority="187" stopIfTrue="1" operator="greaterThan">
      <formula>0</formula>
    </cfRule>
  </conditionalFormatting>
  <conditionalFormatting sqref="L29:N29">
    <cfRule type="cellIs" priority="177" stopIfTrue="1" operator="greaterThan">
      <formula>0</formula>
    </cfRule>
    <cfRule type="expression" dxfId="51" priority="178">
      <formula>$AN$27=2</formula>
    </cfRule>
  </conditionalFormatting>
  <conditionalFormatting sqref="L31:N31">
    <cfRule type="expression" dxfId="50" priority="176">
      <formula>$AN$27=2</formula>
    </cfRule>
    <cfRule type="cellIs" priority="175" stopIfTrue="1" operator="greaterThan">
      <formula>0</formula>
    </cfRule>
  </conditionalFormatting>
  <conditionalFormatting sqref="L45:N45">
    <cfRule type="expression" dxfId="49" priority="162">
      <formula>$AN$45=1</formula>
    </cfRule>
    <cfRule type="expression" priority="149" stopIfTrue="1">
      <formula>$AM$43=2</formula>
    </cfRule>
    <cfRule type="cellIs" priority="161" stopIfTrue="1" operator="greaterThan">
      <formula>0</formula>
    </cfRule>
  </conditionalFormatting>
  <conditionalFormatting sqref="L47:N47">
    <cfRule type="cellIs" priority="163" stopIfTrue="1" operator="greaterThan">
      <formula>0</formula>
    </cfRule>
    <cfRule type="expression" dxfId="48" priority="164">
      <formula>$AN$45=2</formula>
    </cfRule>
  </conditionalFormatting>
  <conditionalFormatting sqref="L49:N49">
    <cfRule type="cellIs" priority="157" stopIfTrue="1" operator="greaterThan">
      <formula>0</formula>
    </cfRule>
    <cfRule type="expression" dxfId="47" priority="158">
      <formula>$AN$45=2</formula>
    </cfRule>
  </conditionalFormatting>
  <conditionalFormatting sqref="M23 T23">
    <cfRule type="expression" priority="209" stopIfTrue="1">
      <formula>$AM$23=2</formula>
    </cfRule>
    <cfRule type="expression" dxfId="46" priority="210">
      <formula>ISBLANK(M23)</formula>
    </cfRule>
  </conditionalFormatting>
  <conditionalFormatting sqref="N17:Q17">
    <cfRule type="expression" dxfId="45" priority="14">
      <formula>ISBLANK(N17)</formula>
    </cfRule>
  </conditionalFormatting>
  <conditionalFormatting sqref="Q35 S35">
    <cfRule type="expression" priority="111" stopIfTrue="1">
      <formula>$AO$35=2</formula>
    </cfRule>
    <cfRule type="expression" dxfId="44" priority="139">
      <formula>$AO$27=2</formula>
    </cfRule>
  </conditionalFormatting>
  <conditionalFormatting sqref="Q37 S37">
    <cfRule type="expression" priority="110" stopIfTrue="1">
      <formula>$AO$37=2</formula>
    </cfRule>
    <cfRule type="expression" dxfId="43" priority="131">
      <formula>$AO$27=2</formula>
    </cfRule>
  </conditionalFormatting>
  <conditionalFormatting sqref="Q39 S39">
    <cfRule type="expression" priority="109" stopIfTrue="1">
      <formula>$AO$39=2</formula>
    </cfRule>
    <cfRule type="expression" dxfId="42" priority="129">
      <formula>$AO$27=2</formula>
    </cfRule>
  </conditionalFormatting>
  <conditionalFormatting sqref="Q41 S41">
    <cfRule type="expression" dxfId="41" priority="127">
      <formula>$AO$27=2</formula>
    </cfRule>
    <cfRule type="expression" priority="108" stopIfTrue="1">
      <formula>$AO$41=2</formula>
    </cfRule>
  </conditionalFormatting>
  <conditionalFormatting sqref="Q53 S53">
    <cfRule type="expression" dxfId="40" priority="91">
      <formula>$AO$45=2</formula>
    </cfRule>
    <cfRule type="expression" priority="90" stopIfTrue="1">
      <formula>$AO$53=2</formula>
    </cfRule>
  </conditionalFormatting>
  <conditionalFormatting sqref="Q55 S55">
    <cfRule type="expression" dxfId="39" priority="89">
      <formula>$AO$45=2</formula>
    </cfRule>
    <cfRule type="expression" priority="88" stopIfTrue="1">
      <formula>$AO$55=2</formula>
    </cfRule>
  </conditionalFormatting>
  <conditionalFormatting sqref="Q57 S57">
    <cfRule type="expression" dxfId="38" priority="87">
      <formula>$AO$45=2</formula>
    </cfRule>
    <cfRule type="expression" priority="86" stopIfTrue="1">
      <formula>$AO$57=2</formula>
    </cfRule>
  </conditionalFormatting>
  <conditionalFormatting sqref="Q59 S59">
    <cfRule type="expression" dxfId="37" priority="85">
      <formula>$AO$45=2</formula>
    </cfRule>
    <cfRule type="expression" priority="84" stopIfTrue="1">
      <formula>$AO$59=2</formula>
    </cfRule>
  </conditionalFormatting>
  <conditionalFormatting sqref="Q27:S27">
    <cfRule type="cellIs" priority="185" stopIfTrue="1" operator="greaterThan">
      <formula>0</formula>
    </cfRule>
    <cfRule type="expression" dxfId="36" priority="186">
      <formula>$AO$27=1</formula>
    </cfRule>
    <cfRule type="expression" priority="123" stopIfTrue="1">
      <formula>$AM$25=2</formula>
    </cfRule>
  </conditionalFormatting>
  <conditionalFormatting sqref="Q29:S29">
    <cfRule type="cellIs" priority="173" stopIfTrue="1" operator="greaterThan">
      <formula>0</formula>
    </cfRule>
    <cfRule type="expression" dxfId="35" priority="174">
      <formula>$AO$27=2</formula>
    </cfRule>
  </conditionalFormatting>
  <conditionalFormatting sqref="Q31:S31">
    <cfRule type="cellIs" priority="171" stopIfTrue="1" operator="greaterThan">
      <formula>0</formula>
    </cfRule>
    <cfRule type="expression" dxfId="34" priority="172">
      <formula>$AO$27=2</formula>
    </cfRule>
  </conditionalFormatting>
  <conditionalFormatting sqref="Q45:S45">
    <cfRule type="expression" dxfId="33" priority="160">
      <formula>$AO$45=1</formula>
    </cfRule>
    <cfRule type="cellIs" priority="159" stopIfTrue="1" operator="greaterThan">
      <formula>0</formula>
    </cfRule>
    <cfRule type="expression" priority="148" stopIfTrue="1">
      <formula>$AM$43=2</formula>
    </cfRule>
  </conditionalFormatting>
  <conditionalFormatting sqref="Q47:S47">
    <cfRule type="cellIs" priority="153" stopIfTrue="1" operator="greaterThan">
      <formula>0</formula>
    </cfRule>
    <cfRule type="expression" dxfId="32" priority="154">
      <formula>$AO$45=2</formula>
    </cfRule>
  </conditionalFormatting>
  <conditionalFormatting sqref="Q49:S49">
    <cfRule type="expression" dxfId="31" priority="152">
      <formula>$AO$45=2</formula>
    </cfRule>
    <cfRule type="cellIs" priority="151" stopIfTrue="1" operator="greaterThan">
      <formula>0</formula>
    </cfRule>
  </conditionalFormatting>
  <conditionalFormatting sqref="V17:Y17">
    <cfRule type="expression" dxfId="30" priority="15">
      <formula>ISBLANK(V17)</formula>
    </cfRule>
  </conditionalFormatting>
  <conditionalFormatting sqref="W45:AJ45">
    <cfRule type="expression" dxfId="29" priority="83">
      <formula>$AR$41=2</formula>
    </cfRule>
    <cfRule type="cellIs" priority="82" stopIfTrue="1" operator="greaterThan">
      <formula>0</formula>
    </cfRule>
  </conditionalFormatting>
  <conditionalFormatting sqref="X112">
    <cfRule type="expression" dxfId="28" priority="256">
      <formula>$AQ$112=1</formula>
    </cfRule>
  </conditionalFormatting>
  <conditionalFormatting sqref="Y97 AC97">
    <cfRule type="cellIs" priority="20" stopIfTrue="1" operator="greaterThan">
      <formula>0</formula>
    </cfRule>
    <cfRule type="expression" dxfId="27" priority="21">
      <formula>$AO$97=2</formula>
    </cfRule>
  </conditionalFormatting>
  <conditionalFormatting sqref="Y99 AC99">
    <cfRule type="expression" dxfId="26" priority="19">
      <formula>$AO$99=2</formula>
    </cfRule>
    <cfRule type="cellIs" priority="18" stopIfTrue="1" operator="greaterThan">
      <formula>0</formula>
    </cfRule>
  </conditionalFormatting>
  <conditionalFormatting sqref="Y101 AC101">
    <cfRule type="cellIs" priority="1473" stopIfTrue="1" operator="greaterThan">
      <formula>0</formula>
    </cfRule>
    <cfRule type="expression" dxfId="25" priority="1474">
      <formula>$AO$101=2</formula>
    </cfRule>
  </conditionalFormatting>
  <conditionalFormatting sqref="Y103 AC103">
    <cfRule type="expression" dxfId="24" priority="1481">
      <formula>$AO$103=2</formula>
    </cfRule>
    <cfRule type="cellIs" priority="1480" stopIfTrue="1" operator="greaterThan">
      <formula>0</formula>
    </cfRule>
  </conditionalFormatting>
  <conditionalFormatting sqref="Z76:AC76">
    <cfRule type="cellIs" priority="1397" stopIfTrue="1" operator="greaterThan">
      <formula>0</formula>
    </cfRule>
    <cfRule type="expression" dxfId="23" priority="1398">
      <formula>$AN$76=2</formula>
    </cfRule>
  </conditionalFormatting>
  <conditionalFormatting sqref="Z78:AC78">
    <cfRule type="expression" dxfId="22" priority="1400">
      <formula>$AN$78=2</formula>
    </cfRule>
    <cfRule type="cellIs" priority="1399" stopIfTrue="1" operator="greaterThan">
      <formula>0</formula>
    </cfRule>
  </conditionalFormatting>
  <conditionalFormatting sqref="Z84:AC84">
    <cfRule type="expression" dxfId="21" priority="1410">
      <formula>$AN$84=2</formula>
    </cfRule>
    <cfRule type="cellIs" priority="1409" stopIfTrue="1" operator="greaterThan">
      <formula>0</formula>
    </cfRule>
  </conditionalFormatting>
  <conditionalFormatting sqref="Z86:AC86">
    <cfRule type="expression" dxfId="20" priority="1412">
      <formula>$AN$86=2</formula>
    </cfRule>
    <cfRule type="cellIs" priority="1411" stopIfTrue="1" operator="greaterThan">
      <formula>0</formula>
    </cfRule>
  </conditionalFormatting>
  <conditionalFormatting sqref="Z141:AE141">
    <cfRule type="expression" dxfId="19" priority="298">
      <formula>ISBLANK(Z141)</formula>
    </cfRule>
  </conditionalFormatting>
  <conditionalFormatting sqref="Z135:AJ136">
    <cfRule type="expression" dxfId="18" priority="233">
      <formula>ISBLANK(Z135)</formula>
    </cfRule>
    <cfRule type="expression" priority="232" stopIfTrue="1">
      <formula>$AM$113=2</formula>
    </cfRule>
  </conditionalFormatting>
  <conditionalFormatting sqref="AA57:AJ57">
    <cfRule type="expression" dxfId="17" priority="81">
      <formula>$AR$55=2</formula>
    </cfRule>
    <cfRule type="cellIs" priority="80" stopIfTrue="1" operator="greaterThan">
      <formula>0</formula>
    </cfRule>
  </conditionalFormatting>
  <conditionalFormatting sqref="AE14:AE18">
    <cfRule type="expression" dxfId="16" priority="229">
      <formula>ISBLANK(AE14)</formula>
    </cfRule>
  </conditionalFormatting>
  <conditionalFormatting sqref="AE76 AH76">
    <cfRule type="expression" dxfId="15" priority="1402">
      <formula>$AN$76=2</formula>
    </cfRule>
    <cfRule type="expression" priority="1401" stopIfTrue="1">
      <formula>$AO$76=2</formula>
    </cfRule>
  </conditionalFormatting>
  <conditionalFormatting sqref="AE78 AH78">
    <cfRule type="expression" priority="1405" stopIfTrue="1">
      <formula>$AO$78=2</formula>
    </cfRule>
    <cfRule type="expression" dxfId="14" priority="1406">
      <formula>$AN$78=2</formula>
    </cfRule>
  </conditionalFormatting>
  <conditionalFormatting sqref="AE84 AH84">
    <cfRule type="expression" dxfId="13" priority="1414">
      <formula>$AN$84=2</formula>
    </cfRule>
    <cfRule type="expression" priority="1413" stopIfTrue="1">
      <formula>$AO$84=2</formula>
    </cfRule>
  </conditionalFormatting>
  <conditionalFormatting sqref="AE86 AH86">
    <cfRule type="expression" dxfId="12" priority="1418">
      <formula>$AN$86=2</formula>
    </cfRule>
    <cfRule type="expression" priority="1417" stopIfTrue="1">
      <formula>$AO$86=2</formula>
    </cfRule>
  </conditionalFormatting>
  <conditionalFormatting sqref="AE14:AJ14">
    <cfRule type="expression" priority="228" stopIfTrue="1">
      <formula>$AM$14=0</formula>
    </cfRule>
  </conditionalFormatting>
  <conditionalFormatting sqref="AE138:AJ138">
    <cfRule type="expression" dxfId="11" priority="231">
      <formula>ISBLANK(AE138)</formula>
    </cfRule>
  </conditionalFormatting>
  <conditionalFormatting sqref="AH27 AJ27">
    <cfRule type="expression" priority="191" stopIfTrue="1">
      <formula>$AQ$25=2</formula>
    </cfRule>
    <cfRule type="expression" dxfId="10" priority="193">
      <formula>ISBLANK(AJ27)</formula>
    </cfRule>
    <cfRule type="expression" priority="192" stopIfTrue="1">
      <formula>$AQ$27=2</formula>
    </cfRule>
  </conditionalFormatting>
  <conditionalFormatting sqref="AH29 AJ29">
    <cfRule type="expression" priority="1361" stopIfTrue="1">
      <formula>$AQ$25=2</formula>
    </cfRule>
    <cfRule type="expression" dxfId="9" priority="1363">
      <formula>ISBLANK(AH29)</formula>
    </cfRule>
    <cfRule type="expression" priority="1362" stopIfTrue="1">
      <formula>$AQ$29=2</formula>
    </cfRule>
  </conditionalFormatting>
  <conditionalFormatting sqref="AH31 AJ31">
    <cfRule type="expression" dxfId="8" priority="1369">
      <formula>ISBLANK(AH31)</formula>
    </cfRule>
    <cfRule type="expression" priority="1368" stopIfTrue="1">
      <formula>$AQ$31=2</formula>
    </cfRule>
    <cfRule type="expression" priority="1367" stopIfTrue="1">
      <formula>$AQ$25=2</formula>
    </cfRule>
  </conditionalFormatting>
  <conditionalFormatting sqref="AH33 AJ33">
    <cfRule type="expression" dxfId="7" priority="1375">
      <formula>ISBLANK(AH33)</formula>
    </cfRule>
    <cfRule type="expression" priority="1374" stopIfTrue="1">
      <formula>$AQ$33=2</formula>
    </cfRule>
    <cfRule type="expression" priority="1373" stopIfTrue="1">
      <formula>$AQ$25=2</formula>
    </cfRule>
  </conditionalFormatting>
  <conditionalFormatting sqref="AH35 AJ35">
    <cfRule type="expression" dxfId="6" priority="1387">
      <formula>ISBLANK(AH35)</formula>
    </cfRule>
    <cfRule type="expression" priority="1386" stopIfTrue="1">
      <formula>$AQ$35=2</formula>
    </cfRule>
    <cfRule type="expression" priority="1385" stopIfTrue="1">
      <formula>$AP$35=2</formula>
    </cfRule>
    <cfRule type="expression" priority="3" stopIfTrue="1">
      <formula>$AQ$25=2</formula>
    </cfRule>
  </conditionalFormatting>
  <conditionalFormatting sqref="AH37 AJ37">
    <cfRule type="expression" dxfId="5" priority="1390">
      <formula>$AQ$37=1</formula>
    </cfRule>
    <cfRule type="expression" priority="1389" stopIfTrue="1">
      <formula>$AQ$37=2</formula>
    </cfRule>
    <cfRule type="expression" priority="1388" stopIfTrue="1">
      <formula>$AP$37=2</formula>
    </cfRule>
    <cfRule type="expression" priority="2" stopIfTrue="1">
      <formula>$AQ$25=2</formula>
    </cfRule>
  </conditionalFormatting>
  <conditionalFormatting sqref="AH39 AJ39">
    <cfRule type="expression" priority="1" stopIfTrue="1">
      <formula>$AQ$25=2</formula>
    </cfRule>
    <cfRule type="expression" dxfId="4" priority="1396">
      <formula>$AQ$39=1</formula>
    </cfRule>
    <cfRule type="expression" priority="1395" stopIfTrue="1">
      <formula>$AQ$39=2</formula>
    </cfRule>
    <cfRule type="expression" priority="1394" stopIfTrue="1">
      <formula>$AP$39=2</formula>
    </cfRule>
  </conditionalFormatting>
  <conditionalFormatting sqref="AH41 AJ41">
    <cfRule type="expression" dxfId="3" priority="199">
      <formula>$AQ$41=1</formula>
    </cfRule>
    <cfRule type="expression" priority="198" stopIfTrue="1">
      <formula>$AQ$41=2</formula>
    </cfRule>
  </conditionalFormatting>
  <conditionalFormatting sqref="AH51 AJ51">
    <cfRule type="expression" dxfId="2" priority="79">
      <formula>ISBLANK(AH51)</formula>
    </cfRule>
    <cfRule type="expression" priority="78" stopIfTrue="1">
      <formula>$AQ$51=2</formula>
    </cfRule>
  </conditionalFormatting>
  <conditionalFormatting sqref="AH53 AJ53">
    <cfRule type="expression" priority="76" stopIfTrue="1">
      <formula>$AQ$53=2</formula>
    </cfRule>
    <cfRule type="expression" dxfId="1" priority="77">
      <formula>ISBLANK(AH53)</formula>
    </cfRule>
  </conditionalFormatting>
  <conditionalFormatting sqref="AH55 AJ55">
    <cfRule type="expression" dxfId="0" priority="75">
      <formula>ISBLANK(AH55)</formula>
    </cfRule>
    <cfRule type="expression" priority="74" stopIfTrue="1">
      <formula>$AQ$55=2</formula>
    </cfRule>
  </conditionalFormatting>
  <dataValidations count="1">
    <dataValidation type="list" allowBlank="1" showInputMessage="1" showErrorMessage="1" sqref="G31:I31 L31:N31 Q31:S31 G49:I49 L49:N49 Q49:S49" xr:uid="{13E253DB-3696-4057-A244-56E1E8527D29}">
      <formula1>Shape</formula1>
    </dataValidation>
  </dataValidations>
  <pageMargins left="0.2" right="0.2" top="0.5" bottom="0.25" header="0.3" footer="0.3"/>
  <pageSetup orientation="portrait" r:id="rId1"/>
  <rowBreaks count="2" manualBreakCount="2">
    <brk id="65" max="16383" man="1"/>
    <brk id="120"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1E8F61D-F71B-43EA-BD28-FEA5D64C315B}">
          <x14:formula1>
            <xm:f>Tables!$G$20:$G$26</xm:f>
          </x14:formula1>
          <xm:sqref>Z135:AJ136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Form 2C.1 - Design</vt:lpstr>
      <vt:lpstr>Form 2C.2 - Design Attachment</vt:lpstr>
      <vt:lpstr>Form 3C - As-built</vt:lpstr>
      <vt:lpstr>Form 4C - Inspection</vt:lpstr>
      <vt:lpstr>Material</vt:lpstr>
      <vt:lpstr>'Form 2C.1 - Design'!Print_Area</vt:lpstr>
      <vt:lpstr>'Form 2C.2 - Design Attachment'!Print_Area</vt:lpstr>
      <vt:lpstr>'Form 3C - As-built'!Print_Area</vt:lpstr>
      <vt:lpstr>'Form 4C - Inspection'!Print_Area</vt:lpstr>
      <vt:lpstr>'Form 2C.1 - Design'!Print_Titles</vt:lpstr>
      <vt:lpstr>'Form 2C.2 - Design Attachment'!Print_Titles</vt:lpstr>
      <vt:lpstr>'Form 3C - As-built'!Print_Titles</vt:lpstr>
      <vt:lpstr>'Form 4C - Inspection'!Print_Titles</vt:lpstr>
      <vt:lpstr>Shape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Dewayne Smith</dc:creator>
  <cp:lastModifiedBy>Dewayne Smith</cp:lastModifiedBy>
  <cp:lastPrinted>2024-03-23T20:27:21Z</cp:lastPrinted>
  <dcterms:created xsi:type="dcterms:W3CDTF">2021-11-21T16:55:43Z</dcterms:created>
  <dcterms:modified xsi:type="dcterms:W3CDTF">2024-03-24T14:52:34Z</dcterms:modified>
</cp:coreProperties>
</file>