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HYDRO\PROJECTS\Prattville\2024\C - Post Const\01 - Forms\2024-04-01 Published\"/>
    </mc:Choice>
  </mc:AlternateContent>
  <xr:revisionPtr revIDLastSave="0" documentId="13_ncr:1_{365B559C-E8A6-42D3-B47C-5B8340329C91}" xr6:coauthVersionLast="47" xr6:coauthVersionMax="47" xr10:uidLastSave="{00000000-0000-0000-0000-000000000000}"/>
  <workbookProtection workbookAlgorithmName="SHA-512" workbookHashValue="ZBxGkT3q2h5IPqvwGRx9lI9cIjp7v0IHQwK3/62j3Xmc7Nura7Q6FlttKC9eErRjT2oF9C5ZhIhLzBw5y7rTzw==" workbookSaltValue="HDccExV7wwIxZh9rBEPQnw==" workbookSpinCount="100000" lockStructure="1"/>
  <bookViews>
    <workbookView xWindow="13740" yWindow="-16320" windowWidth="29040" windowHeight="15840" firstSheet="1" activeTab="1" xr2:uid="{994EC860-6224-46C4-B304-9868EEFCD4CE}"/>
  </bookViews>
  <sheets>
    <sheet name="Tables" sheetId="2" state="veryHidden" r:id="rId1"/>
    <sheet name="Instructions" sheetId="4" r:id="rId2"/>
    <sheet name="Form 2D - Design" sheetId="5" r:id="rId3"/>
    <sheet name="Form 3D - As-built" sheetId="6" r:id="rId4"/>
    <sheet name="Form 4D - Inspection" sheetId="7" r:id="rId5"/>
  </sheets>
  <definedNames>
    <definedName name="_Hlk68675965" localSheetId="3">'Form 3D - As-built'!#REF!</definedName>
    <definedName name="Logo">INDEX(Tables!$C$32:$C$36,MATCH(Tables!$C$14,Tables!$B$32:$B$36,0))</definedName>
    <definedName name="Material">Tables!$A$2:$A$10</definedName>
    <definedName name="_xlnm.Print_Area" localSheetId="2">'Form 2D - Design'!$A$1:$AK$200</definedName>
    <definedName name="_xlnm.Print_Area" localSheetId="3">'Form 3D - As-built'!$A$1:$AL$197</definedName>
    <definedName name="_xlnm.Print_Area" localSheetId="4">'Form 4D - Inspection'!$A$1:$AK$166</definedName>
    <definedName name="_xlnm.Print_Titles" localSheetId="2">'Form 2D - Design'!$1:$4</definedName>
    <definedName name="_xlnm.Print_Titles" localSheetId="3">'Form 3D - As-built'!$1:$4</definedName>
    <definedName name="_xlnm.Print_Titles" localSheetId="4">'Form 4D - Inspection'!$1:$4</definedName>
    <definedName name="Shape">Tables!$C$2:$C$9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6" i="5" l="1"/>
  <c r="AN56" i="5"/>
  <c r="AM56" i="5"/>
  <c r="AL56" i="5"/>
  <c r="AL42" i="5"/>
  <c r="AL29" i="5"/>
  <c r="AQ127" i="6"/>
  <c r="AQ122" i="6"/>
  <c r="AO126" i="5"/>
  <c r="AO121" i="5"/>
  <c r="G127" i="6"/>
  <c r="G126" i="6"/>
  <c r="G125" i="6"/>
  <c r="G124" i="6"/>
  <c r="G123" i="6"/>
  <c r="G122" i="6"/>
  <c r="G120" i="6"/>
  <c r="G119" i="6"/>
  <c r="G118" i="6"/>
  <c r="G117" i="6"/>
  <c r="G116" i="6"/>
  <c r="G115" i="6"/>
  <c r="K126" i="5"/>
  <c r="K125" i="5"/>
  <c r="K124" i="5"/>
  <c r="K123" i="5"/>
  <c r="K122" i="5"/>
  <c r="K121" i="5"/>
  <c r="J53" i="5"/>
  <c r="J52" i="5"/>
  <c r="J51" i="5"/>
  <c r="J50" i="5"/>
  <c r="J49" i="5"/>
  <c r="J48" i="5"/>
  <c r="J40" i="5"/>
  <c r="J39" i="5"/>
  <c r="J38" i="5"/>
  <c r="J37" i="5"/>
  <c r="J36" i="5"/>
  <c r="J35" i="5"/>
  <c r="C28" i="2"/>
  <c r="AR20" i="5" s="1"/>
  <c r="C27" i="2"/>
  <c r="AP24" i="7" s="1"/>
  <c r="C26" i="2"/>
  <c r="C25" i="2"/>
  <c r="C24" i="2"/>
  <c r="C23" i="2"/>
  <c r="C22" i="2"/>
  <c r="C21" i="2"/>
  <c r="C127" i="6" s="1"/>
  <c r="C20" i="2"/>
  <c r="C126" i="6" s="1"/>
  <c r="B200" i="5"/>
  <c r="B196" i="6"/>
  <c r="AO123" i="5"/>
  <c r="AO124" i="5"/>
  <c r="AO125" i="5"/>
  <c r="AO122" i="5"/>
  <c r="AO91" i="5"/>
  <c r="AO93" i="5"/>
  <c r="AP68" i="6"/>
  <c r="AO120" i="5" l="1"/>
  <c r="F39" i="5"/>
  <c r="F53" i="5"/>
  <c r="G125" i="5"/>
  <c r="C119" i="6"/>
  <c r="G126" i="5"/>
  <c r="C120" i="6"/>
  <c r="F52" i="5"/>
  <c r="AQ124" i="6"/>
  <c r="AQ125" i="6"/>
  <c r="AQ126" i="6"/>
  <c r="AQ123" i="6"/>
  <c r="AO123" i="6"/>
  <c r="AO124" i="6"/>
  <c r="AO125" i="6"/>
  <c r="AO126" i="6"/>
  <c r="AO122" i="6"/>
  <c r="AO127" i="6"/>
  <c r="L179" i="6" l="1"/>
  <c r="L178" i="6"/>
  <c r="AP72" i="6"/>
  <c r="AP71" i="6"/>
  <c r="AN71" i="6"/>
  <c r="AN126" i="5" l="1"/>
  <c r="AN122" i="5"/>
  <c r="AN123" i="5"/>
  <c r="AN124" i="5"/>
  <c r="AN125" i="5"/>
  <c r="AN121" i="5"/>
  <c r="L176" i="5" s="1"/>
  <c r="AL126" i="5"/>
  <c r="AL122" i="5"/>
  <c r="AL123" i="5"/>
  <c r="AL124" i="5"/>
  <c r="AL125" i="5"/>
  <c r="AL121" i="5"/>
  <c r="AO97" i="5" l="1"/>
  <c r="AM97" i="5"/>
  <c r="L169" i="5" l="1"/>
  <c r="L168" i="5"/>
  <c r="L167" i="5"/>
  <c r="L166" i="5"/>
  <c r="AL53" i="5"/>
  <c r="AL52" i="5"/>
  <c r="AL51" i="5"/>
  <c r="AL50" i="5"/>
  <c r="AL49" i="5"/>
  <c r="AL40" i="5"/>
  <c r="AL39" i="5"/>
  <c r="AL38" i="5"/>
  <c r="AL37" i="5"/>
  <c r="AL36" i="5"/>
  <c r="C19" i="2"/>
  <c r="C18" i="2"/>
  <c r="C17" i="2"/>
  <c r="C16" i="2"/>
  <c r="C15" i="2"/>
  <c r="G16" i="2"/>
  <c r="F36" i="5" l="1"/>
  <c r="C123" i="6"/>
  <c r="F49" i="5"/>
  <c r="C116" i="6"/>
  <c r="G122" i="5"/>
  <c r="C124" i="6"/>
  <c r="F50" i="5"/>
  <c r="F37" i="5"/>
  <c r="C117" i="6"/>
  <c r="G123" i="5"/>
  <c r="F38" i="5"/>
  <c r="F51" i="5"/>
  <c r="C125" i="6"/>
  <c r="C118" i="6"/>
  <c r="G124" i="5"/>
  <c r="F35" i="5"/>
  <c r="C122" i="6"/>
  <c r="F48" i="5"/>
  <c r="C115" i="6"/>
  <c r="G121" i="5"/>
  <c r="AP117" i="6"/>
  <c r="G6" i="2"/>
  <c r="AM129" i="5"/>
  <c r="AD14" i="7"/>
  <c r="AM14" i="7" s="1"/>
  <c r="AE14" i="6"/>
  <c r="AM14" i="6" s="1"/>
  <c r="AL47" i="5"/>
  <c r="AL34" i="5"/>
  <c r="AM121" i="5" l="1"/>
  <c r="AM123" i="5"/>
  <c r="AM122" i="5"/>
  <c r="AM126" i="5"/>
  <c r="AM124" i="5"/>
  <c r="AM125" i="5"/>
  <c r="AP123" i="6"/>
  <c r="AP125" i="6"/>
  <c r="AP124" i="6"/>
  <c r="AP126" i="6"/>
  <c r="AP122" i="6"/>
  <c r="AP127" i="6"/>
  <c r="L176" i="6"/>
  <c r="AM183" i="6"/>
  <c r="AM177" i="6"/>
  <c r="AL165" i="5"/>
  <c r="AL173" i="5"/>
  <c r="H177" i="5"/>
  <c r="I177" i="5"/>
  <c r="L177" i="5" l="1"/>
  <c r="AL177" i="5" s="1"/>
  <c r="AO102" i="5" l="1"/>
  <c r="AN102" i="5"/>
  <c r="AM51" i="7"/>
  <c r="AE159" i="5"/>
  <c r="AE158" i="5"/>
  <c r="D158" i="5"/>
  <c r="AM128" i="7"/>
  <c r="Z138" i="7"/>
  <c r="AV35" i="6"/>
  <c r="D128" i="7"/>
  <c r="D15" i="2"/>
  <c r="AA26" i="5" s="1"/>
  <c r="AM145" i="6"/>
  <c r="AQ70" i="6"/>
  <c r="AN70" i="6"/>
  <c r="AP73" i="6"/>
  <c r="AN73" i="6"/>
  <c r="AP23" i="7" l="1"/>
  <c r="AR16" i="5"/>
  <c r="D140" i="5"/>
  <c r="AA18" i="6"/>
  <c r="AT45" i="6"/>
  <c r="AM85" i="6"/>
  <c r="AM179" i="6"/>
  <c r="AM178" i="6"/>
  <c r="AL168" i="5"/>
  <c r="AL169" i="5"/>
  <c r="AL167" i="5"/>
  <c r="AL166" i="5"/>
  <c r="AL82" i="5"/>
  <c r="AL86" i="5"/>
  <c r="B166" i="7" l="1"/>
  <c r="B120" i="7"/>
  <c r="B66" i="7"/>
  <c r="B153" i="6"/>
  <c r="B108" i="6"/>
  <c r="B60" i="6"/>
  <c r="B157" i="5"/>
  <c r="B114" i="5"/>
  <c r="B58" i="5"/>
  <c r="AN59" i="7" l="1"/>
  <c r="AN57" i="7"/>
  <c r="AN55" i="7"/>
  <c r="AM59" i="7"/>
  <c r="AM57" i="7"/>
  <c r="AM55" i="7"/>
  <c r="D77" i="7" l="1"/>
  <c r="I70" i="6" l="1"/>
  <c r="F70" i="6"/>
  <c r="AM70" i="6"/>
  <c r="O66" i="6"/>
  <c r="O65" i="6"/>
  <c r="J66" i="6"/>
  <c r="J65" i="6"/>
  <c r="O57" i="6"/>
  <c r="O56" i="6"/>
  <c r="O55" i="6"/>
  <c r="F57" i="6"/>
  <c r="F56" i="6"/>
  <c r="F55" i="6"/>
  <c r="O52" i="6"/>
  <c r="O49" i="6"/>
  <c r="F52" i="6"/>
  <c r="F51" i="6"/>
  <c r="F50" i="6"/>
  <c r="F49" i="6"/>
  <c r="O51" i="6"/>
  <c r="Q47" i="6"/>
  <c r="N47" i="6"/>
  <c r="K45" i="6"/>
  <c r="O43" i="6"/>
  <c r="O42" i="6"/>
  <c r="F42" i="6"/>
  <c r="K40" i="6"/>
  <c r="N23" i="6"/>
  <c r="Q25" i="6"/>
  <c r="N25" i="6"/>
  <c r="N22" i="6"/>
  <c r="AM57" i="6"/>
  <c r="AM56" i="6"/>
  <c r="AM51" i="6"/>
  <c r="AM50" i="6"/>
  <c r="AM47" i="6"/>
  <c r="AM49" i="6"/>
  <c r="AM45" i="6"/>
  <c r="AM42" i="6"/>
  <c r="AM35" i="6"/>
  <c r="AM25" i="6"/>
  <c r="AM89" i="5"/>
  <c r="AL89" i="5"/>
  <c r="AM84" i="5"/>
  <c r="AL84" i="5"/>
  <c r="AL79" i="5"/>
  <c r="AL75" i="5"/>
  <c r="AM59" i="5" l="1"/>
  <c r="AM34" i="6"/>
  <c r="AN27" i="6"/>
  <c r="AM27" i="6"/>
  <c r="AM40" i="6"/>
  <c r="N38" i="6"/>
  <c r="I38" i="6"/>
  <c r="N37" i="6"/>
  <c r="I37" i="6"/>
  <c r="F35" i="6"/>
  <c r="K34" i="6"/>
  <c r="N31" i="6"/>
  <c r="N32" i="6"/>
  <c r="N30" i="6"/>
  <c r="I31" i="6"/>
  <c r="I32" i="6"/>
  <c r="I30" i="6"/>
  <c r="N27" i="6"/>
  <c r="I27" i="6"/>
  <c r="F27" i="6"/>
  <c r="AO95" i="5"/>
  <c r="AM79" i="5" l="1"/>
  <c r="AM75" i="5"/>
  <c r="AM68" i="5"/>
  <c r="AL68" i="5"/>
  <c r="AL64" i="5"/>
  <c r="AL62" i="5"/>
  <c r="D75" i="7" l="1"/>
  <c r="D73" i="7"/>
  <c r="B6" i="4" l="1"/>
  <c r="B34" i="4" s="1"/>
  <c r="B35" i="4" s="1"/>
  <c r="J27" i="5"/>
  <c r="AL23" i="5" s="1"/>
  <c r="W23" i="5" s="1"/>
  <c r="P30" i="5"/>
  <c r="L30" i="5"/>
  <c r="W27" i="5" l="1"/>
  <c r="W26" i="5"/>
  <c r="AE122" i="7"/>
  <c r="AE121" i="7"/>
  <c r="E121" i="7"/>
  <c r="AE68" i="7"/>
  <c r="AE67" i="7"/>
  <c r="E67" i="7"/>
  <c r="R85" i="7"/>
  <c r="R83" i="7"/>
  <c r="AM83" i="7" s="1"/>
  <c r="R81" i="7"/>
  <c r="AM81" i="7" s="1"/>
  <c r="P87" i="7"/>
  <c r="B87" i="7"/>
  <c r="AC71" i="7"/>
  <c r="S71" i="7"/>
  <c r="J71" i="7"/>
  <c r="B71" i="7"/>
  <c r="AN83" i="7"/>
  <c r="AN81" i="7"/>
  <c r="R95" i="7"/>
  <c r="R93" i="7"/>
  <c r="AN53" i="7"/>
  <c r="AN51" i="7"/>
  <c r="AN31" i="7"/>
  <c r="AM31" i="7"/>
  <c r="AN29" i="7"/>
  <c r="AM29" i="7"/>
  <c r="AN27" i="7"/>
  <c r="AM27" i="7"/>
  <c r="AN25" i="7"/>
  <c r="AM25" i="7"/>
  <c r="BI1" i="6"/>
  <c r="AG154" i="6" l="1"/>
  <c r="AG109" i="6"/>
  <c r="AN103" i="7"/>
  <c r="AN91" i="7"/>
  <c r="R91" i="7"/>
  <c r="AM91" i="7" s="1"/>
  <c r="AN89" i="7"/>
  <c r="R89" i="7"/>
  <c r="AM89" i="7" s="1"/>
  <c r="D91" i="7"/>
  <c r="D89" i="7"/>
  <c r="D83" i="7"/>
  <c r="AE75" i="7"/>
  <c r="U75" i="7"/>
  <c r="L75" i="7"/>
  <c r="D81" i="7"/>
  <c r="AE73" i="7"/>
  <c r="U73" i="7"/>
  <c r="L73" i="7"/>
  <c r="AM63" i="7"/>
  <c r="AN49" i="7"/>
  <c r="AN47" i="7"/>
  <c r="AM49" i="7"/>
  <c r="AM47" i="7"/>
  <c r="AM45" i="7"/>
  <c r="AN43" i="7"/>
  <c r="AM43" i="7"/>
  <c r="AN41" i="7"/>
  <c r="AM41" i="7"/>
  <c r="AN39" i="7"/>
  <c r="AM39" i="7"/>
  <c r="AN37" i="7"/>
  <c r="AM37" i="7"/>
  <c r="AN35" i="7"/>
  <c r="AM35" i="7"/>
  <c r="AN33" i="7"/>
  <c r="AM33" i="7"/>
  <c r="BD1" i="7"/>
  <c r="AH120" i="6" l="1"/>
  <c r="AH119" i="6"/>
  <c r="AH118" i="6"/>
  <c r="AH117" i="6"/>
  <c r="AH116" i="6"/>
  <c r="AH115" i="6"/>
  <c r="AC120" i="6"/>
  <c r="AC119" i="6"/>
  <c r="AC118" i="6"/>
  <c r="AC117" i="6"/>
  <c r="AC116" i="6"/>
  <c r="AC115" i="6"/>
  <c r="AG61" i="6"/>
  <c r="X120" i="6"/>
  <c r="X119" i="6"/>
  <c r="X118" i="6"/>
  <c r="X117" i="6"/>
  <c r="X116" i="6"/>
  <c r="X115" i="6"/>
  <c r="S120" i="6"/>
  <c r="S119" i="6"/>
  <c r="S118" i="6"/>
  <c r="S117" i="6"/>
  <c r="S116" i="6"/>
  <c r="S115" i="6"/>
  <c r="N120" i="6"/>
  <c r="AN127" i="6" s="1"/>
  <c r="N119" i="6"/>
  <c r="AN126" i="6" s="1"/>
  <c r="N118" i="6"/>
  <c r="AN125" i="6" s="1"/>
  <c r="N117" i="6"/>
  <c r="AN124" i="6" s="1"/>
  <c r="N116" i="6"/>
  <c r="AN123" i="6" s="1"/>
  <c r="N115" i="6"/>
  <c r="AN122" i="6" s="1"/>
  <c r="M96" i="6"/>
  <c r="M97" i="6"/>
  <c r="M98" i="6"/>
  <c r="M99" i="6"/>
  <c r="M100" i="6"/>
  <c r="M101" i="6"/>
  <c r="M102" i="6"/>
  <c r="M103" i="6"/>
  <c r="M104" i="6"/>
  <c r="G96" i="6"/>
  <c r="G97" i="6"/>
  <c r="G98" i="6"/>
  <c r="G99" i="6"/>
  <c r="G100" i="6"/>
  <c r="G101" i="6"/>
  <c r="G102" i="6"/>
  <c r="G103" i="6"/>
  <c r="G104" i="6"/>
  <c r="B96" i="6"/>
  <c r="B97" i="6"/>
  <c r="B98" i="6"/>
  <c r="B99" i="6"/>
  <c r="B100" i="6"/>
  <c r="B101" i="6"/>
  <c r="B102" i="6"/>
  <c r="B103" i="6"/>
  <c r="B104" i="6"/>
  <c r="M95" i="6"/>
  <c r="G95" i="6"/>
  <c r="B95" i="6"/>
  <c r="M86" i="6"/>
  <c r="M87" i="6"/>
  <c r="M88" i="6"/>
  <c r="M89" i="6"/>
  <c r="M90" i="6"/>
  <c r="M91" i="6"/>
  <c r="M92" i="6"/>
  <c r="M93" i="6"/>
  <c r="M94" i="6"/>
  <c r="M85" i="6"/>
  <c r="G94" i="6"/>
  <c r="G93" i="6"/>
  <c r="G92" i="6"/>
  <c r="G91" i="6"/>
  <c r="G90" i="6"/>
  <c r="G89" i="6"/>
  <c r="G88" i="6"/>
  <c r="G87" i="6"/>
  <c r="G86" i="6"/>
  <c r="G85" i="6"/>
  <c r="B94" i="6"/>
  <c r="B93" i="6"/>
  <c r="B92" i="6"/>
  <c r="B91" i="6"/>
  <c r="B90" i="6"/>
  <c r="B89" i="6"/>
  <c r="B88" i="6"/>
  <c r="B87" i="6"/>
  <c r="B86" i="6"/>
  <c r="B85" i="6"/>
  <c r="AM144" i="6" l="1"/>
  <c r="AP104" i="6"/>
  <c r="AP103" i="6"/>
  <c r="AP102" i="6"/>
  <c r="AP101" i="6"/>
  <c r="AP100" i="6"/>
  <c r="AP99" i="6"/>
  <c r="AP98" i="6"/>
  <c r="AP97" i="6"/>
  <c r="AP96" i="6"/>
  <c r="AP95" i="6"/>
  <c r="AP94" i="6"/>
  <c r="AP93" i="6"/>
  <c r="AP92" i="6"/>
  <c r="AP91" i="6"/>
  <c r="AP90" i="6"/>
  <c r="AP89" i="6"/>
  <c r="AP88" i="6"/>
  <c r="AP87" i="6"/>
  <c r="AP86" i="6"/>
  <c r="AP85" i="6"/>
  <c r="AN85" i="6"/>
  <c r="AN77" i="6"/>
  <c r="I77" i="6"/>
  <c r="AN76" i="6"/>
  <c r="I76" i="6"/>
  <c r="O73" i="6"/>
  <c r="E73" i="6"/>
  <c r="O72" i="6"/>
  <c r="E72" i="6"/>
  <c r="AN72" i="6"/>
  <c r="AP70" i="6" s="1"/>
  <c r="L180" i="6" s="1"/>
  <c r="O71" i="6"/>
  <c r="E71" i="6"/>
  <c r="AF16" i="6"/>
  <c r="E16" i="6"/>
  <c r="E15" i="6"/>
  <c r="AP76" i="6" l="1"/>
  <c r="L181" i="6" s="1"/>
  <c r="AG155" i="6"/>
  <c r="D61" i="6"/>
  <c r="D154" i="6"/>
  <c r="AG110" i="6"/>
  <c r="AO121" i="6"/>
  <c r="AQ121" i="6"/>
  <c r="AM180" i="6"/>
  <c r="AP121" i="6"/>
  <c r="AG62" i="6"/>
  <c r="D109" i="6"/>
  <c r="L188" i="6" l="1"/>
  <c r="AM188" i="6" s="1"/>
  <c r="L187" i="6"/>
  <c r="AM187" i="6" s="1"/>
  <c r="L186" i="6"/>
  <c r="AM186" i="6" s="1"/>
  <c r="AN121" i="6"/>
  <c r="F40" i="5"/>
  <c r="L185" i="6" l="1"/>
  <c r="AM185" i="6" s="1"/>
  <c r="W25" i="5"/>
  <c r="AO117" i="5"/>
  <c r="AM117" i="5"/>
  <c r="AO100" i="5"/>
  <c r="AM100" i="5"/>
  <c r="AO98" i="5"/>
  <c r="AM53" i="5"/>
  <c r="AM52" i="5"/>
  <c r="AM51" i="5"/>
  <c r="AM50" i="5"/>
  <c r="AM49" i="5"/>
  <c r="AM48" i="5"/>
  <c r="AM36" i="5"/>
  <c r="AM37" i="5"/>
  <c r="AM38" i="5"/>
  <c r="AM39" i="5"/>
  <c r="AM40" i="5"/>
  <c r="AM35" i="5"/>
  <c r="AM98" i="5"/>
  <c r="AL176" i="5"/>
  <c r="AM95" i="5" l="1"/>
  <c r="L170" i="5" s="1"/>
  <c r="AL170" i="5" s="1"/>
  <c r="AM116" i="5"/>
  <c r="I115" i="6"/>
  <c r="AM122" i="6" s="1"/>
  <c r="AL95" i="5"/>
  <c r="AB43" i="5"/>
  <c r="X43" i="5"/>
  <c r="T43" i="5"/>
  <c r="P43" i="5"/>
  <c r="L43" i="5"/>
  <c r="AB30" i="5"/>
  <c r="X30" i="5"/>
  <c r="T30" i="5"/>
  <c r="AM111" i="5"/>
  <c r="AL111" i="5"/>
  <c r="AL103" i="5"/>
  <c r="AM103" i="5"/>
  <c r="AL104" i="5"/>
  <c r="AM104" i="5"/>
  <c r="AL105" i="5"/>
  <c r="AM105" i="5"/>
  <c r="AL106" i="5"/>
  <c r="AM106" i="5"/>
  <c r="AL107" i="5"/>
  <c r="AM107" i="5"/>
  <c r="AL108" i="5"/>
  <c r="AM108" i="5"/>
  <c r="AL109" i="5"/>
  <c r="AM109" i="5"/>
  <c r="AL110" i="5"/>
  <c r="AM110" i="5"/>
  <c r="AM102" i="5"/>
  <c r="AL102" i="5"/>
  <c r="AE116" i="5"/>
  <c r="AE115" i="5"/>
  <c r="D115" i="5"/>
  <c r="AE60" i="5"/>
  <c r="AE59" i="5"/>
  <c r="D59" i="5"/>
  <c r="J80" i="6"/>
  <c r="BH1" i="5"/>
  <c r="AN80" i="6" l="1"/>
  <c r="AN82" i="6"/>
  <c r="L182" i="6" s="1"/>
  <c r="L171" i="5"/>
  <c r="AL171" i="5" s="1"/>
  <c r="I120" i="6"/>
  <c r="AM127" i="6" s="1"/>
  <c r="I119" i="6"/>
  <c r="AM126" i="6" s="1"/>
  <c r="I118" i="6"/>
  <c r="AM125" i="6" s="1"/>
  <c r="I117" i="6"/>
  <c r="AM124" i="6" s="1"/>
  <c r="I116" i="6"/>
  <c r="AM123" i="6" s="1"/>
  <c r="AM34" i="5"/>
  <c r="AM120" i="5"/>
  <c r="L175" i="5" s="1"/>
  <c r="AM47" i="5"/>
  <c r="AL120" i="5"/>
  <c r="L174" i="5" s="1"/>
  <c r="AM182" i="6" l="1"/>
  <c r="L164" i="5"/>
  <c r="AL164" i="5" s="1"/>
  <c r="L163" i="5"/>
  <c r="AL163" i="5" s="1"/>
  <c r="AL174" i="5"/>
  <c r="J177" i="5"/>
  <c r="AL175" i="5"/>
  <c r="K177" i="5"/>
  <c r="H112" i="5"/>
  <c r="AM112" i="5" l="1"/>
  <c r="AM113" i="5"/>
  <c r="L172" i="5" s="1"/>
  <c r="AL172" i="5" s="1"/>
  <c r="AL162" i="5" s="1"/>
  <c r="AN120" i="5"/>
  <c r="AM121" i="6" l="1"/>
  <c r="AM181" i="6"/>
  <c r="L184" i="6" l="1"/>
  <c r="AM184" i="6" s="1"/>
  <c r="AM17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4" authorId="0" shapeId="0" xr:uid="{3B287515-92BC-408D-8E97-4BEC19640ABE}">
      <text>
        <r>
          <rPr>
            <b/>
            <sz val="9"/>
            <color indexed="81"/>
            <rFont val="Tahoma"/>
            <family val="2"/>
          </rPr>
          <t>Note:</t>
        </r>
        <r>
          <rPr>
            <sz val="9"/>
            <color indexed="81"/>
            <rFont val="Tahoma"/>
            <family val="2"/>
          </rPr>
          <t xml:space="preserve">
Enter street address of proposed development</t>
        </r>
      </text>
    </comment>
    <comment ref="AE14" authorId="0" shapeId="0" xr:uid="{67630AD7-BFFE-4FD8-838A-A9581D30D04C}">
      <text>
        <r>
          <rPr>
            <b/>
            <sz val="9"/>
            <color indexed="81"/>
            <rFont val="Tahoma"/>
            <family val="2"/>
          </rPr>
          <t>Note:</t>
        </r>
        <r>
          <rPr>
            <sz val="9"/>
            <color indexed="81"/>
            <rFont val="Tahoma"/>
            <family val="2"/>
          </rPr>
          <t xml:space="preserve">
Provide a unique BMP ID
Examples:
   Pond 1
   Pond A
   1
   A</t>
        </r>
      </text>
    </comment>
    <comment ref="AA21" authorId="0" shapeId="0" xr:uid="{66BC69E3-08C5-47F4-9215-EC20B28777A7}">
      <text>
        <r>
          <rPr>
            <b/>
            <sz val="9"/>
            <color indexed="81"/>
            <rFont val="Tahoma"/>
            <family val="2"/>
          </rPr>
          <t>Note:</t>
        </r>
        <r>
          <rPr>
            <sz val="9"/>
            <color indexed="81"/>
            <rFont val="Tahoma"/>
            <family val="2"/>
          </rPr>
          <t xml:space="preserve">
If there is no EIA, enter 0</t>
        </r>
      </text>
    </comment>
    <comment ref="L31" authorId="0" shapeId="0" xr:uid="{9286438A-A5CF-4AD2-95AB-70338108127D}">
      <text>
        <r>
          <rPr>
            <b/>
            <sz val="9"/>
            <color indexed="81"/>
            <rFont val="Tahoma"/>
            <family val="2"/>
          </rPr>
          <t>Note:</t>
        </r>
        <r>
          <rPr>
            <sz val="9"/>
            <color indexed="81"/>
            <rFont val="Tahoma"/>
            <family val="2"/>
          </rPr>
          <t xml:space="preserve">
Enter a unique Basin ID for each subbasin</t>
        </r>
      </text>
    </comment>
    <comment ref="L44" authorId="0" shapeId="0" xr:uid="{D824465B-891A-46CF-A544-FF165EC279FD}">
      <text>
        <r>
          <rPr>
            <b/>
            <sz val="9"/>
            <color indexed="81"/>
            <rFont val="Tahoma"/>
            <family val="2"/>
          </rPr>
          <t>Note:</t>
        </r>
        <r>
          <rPr>
            <sz val="9"/>
            <color indexed="81"/>
            <rFont val="Tahoma"/>
            <family val="2"/>
          </rPr>
          <t xml:space="preserve">
Enter a unique Basin ID for each subbasin</t>
        </r>
      </text>
    </comment>
    <comment ref="O117" authorId="0" shapeId="0" xr:uid="{521CB1EE-FE96-4028-8E94-5361BEA69DDD}">
      <text>
        <r>
          <rPr>
            <b/>
            <sz val="9"/>
            <color indexed="81"/>
            <rFont val="Tahoma"/>
            <family val="2"/>
          </rPr>
          <t>Note:</t>
        </r>
        <r>
          <rPr>
            <sz val="9"/>
            <color indexed="81"/>
            <rFont val="Tahoma"/>
            <family val="2"/>
          </rPr>
          <t xml:space="preserve">
Enter number in decimal format.  Example: 00.000000</t>
        </r>
      </text>
    </comment>
    <comment ref="W117" authorId="0" shapeId="0" xr:uid="{AC34BECD-83DA-4A12-AA5C-7081C479F107}">
      <text>
        <r>
          <rPr>
            <b/>
            <sz val="9"/>
            <color indexed="81"/>
            <rFont val="Tahoma"/>
            <family val="2"/>
          </rPr>
          <t>Note:</t>
        </r>
        <r>
          <rPr>
            <sz val="9"/>
            <color indexed="81"/>
            <rFont val="Tahoma"/>
            <family val="2"/>
          </rPr>
          <t xml:space="preserve">
Enter number in decimal format.  Example: 00.000000</t>
        </r>
      </text>
    </comment>
    <comment ref="F147" authorId="0" shapeId="0" xr:uid="{891B0DB3-522B-4632-957D-4BE185001631}">
      <text>
        <r>
          <rPr>
            <b/>
            <sz val="9"/>
            <color indexed="81"/>
            <rFont val="Tahoma"/>
            <family val="2"/>
          </rPr>
          <t>Note:</t>
        </r>
        <r>
          <rPr>
            <sz val="9"/>
            <color indexed="81"/>
            <rFont val="Tahoma"/>
            <family val="2"/>
          </rPr>
          <t xml:space="preserve">
Enter street addres of proposed development</t>
        </r>
      </text>
    </comment>
    <comment ref="AD152" authorId="0" shapeId="0" xr:uid="{8A5A44CD-BF14-430C-A795-D927779D9803}">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76" authorId="0" shapeId="0" xr:uid="{0A8A7216-34DD-4466-836A-0885FB0DF71B}">
      <text>
        <r>
          <rPr>
            <b/>
            <sz val="9"/>
            <color indexed="81"/>
            <rFont val="Tahoma"/>
            <family val="2"/>
          </rPr>
          <t>Note:</t>
        </r>
        <r>
          <rPr>
            <sz val="9"/>
            <color indexed="81"/>
            <rFont val="Tahoma"/>
            <family val="2"/>
          </rPr>
          <t xml:space="preserve">
Enter number in decimal format.
Example: 00.000000</t>
        </r>
      </text>
    </comment>
    <comment ref="AD77" authorId="0" shapeId="0" xr:uid="{FC766ED8-AFFD-46E1-B86E-C24BCC163475}">
      <text>
        <r>
          <rPr>
            <b/>
            <sz val="9"/>
            <color indexed="81"/>
            <rFont val="Tahoma"/>
            <family val="2"/>
          </rPr>
          <t>Note:</t>
        </r>
        <r>
          <rPr>
            <sz val="9"/>
            <color indexed="81"/>
            <rFont val="Tahoma"/>
            <family val="2"/>
          </rPr>
          <t xml:space="preserve">
Enter number in decimal format.
Example: 00.000000</t>
        </r>
      </text>
    </comment>
    <comment ref="E163" authorId="0" shapeId="0" xr:uid="{FDF7813E-5190-4172-B55D-42AD9CD86139}">
      <text>
        <r>
          <rPr>
            <b/>
            <sz val="9"/>
            <color indexed="81"/>
            <rFont val="Tahoma"/>
            <family val="2"/>
          </rPr>
          <t>Note:</t>
        </r>
        <r>
          <rPr>
            <sz val="9"/>
            <color indexed="81"/>
            <rFont val="Tahoma"/>
            <family val="2"/>
          </rPr>
          <t xml:space="preserve">
Enter street addres of proposed development</t>
        </r>
      </text>
    </comment>
    <comment ref="AC168" authorId="0" shapeId="0" xr:uid="{F28ABC87-7DD1-45F8-A735-1EF6FFD9430B}">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5" authorId="0" shapeId="0" xr:uid="{3CBFF0A0-B595-4267-BF34-A65E8DE59948}">
      <text>
        <r>
          <rPr>
            <b/>
            <sz val="9"/>
            <color indexed="81"/>
            <rFont val="Tahoma"/>
            <family val="2"/>
          </rPr>
          <t>Note:</t>
        </r>
        <r>
          <rPr>
            <sz val="9"/>
            <color indexed="81"/>
            <rFont val="Tahoma"/>
            <family val="2"/>
          </rPr>
          <t xml:space="preserve">
Enter the name of the development</t>
        </r>
      </text>
    </comment>
    <comment ref="AE17" authorId="0" shapeId="0" xr:uid="{517CDA66-881F-4AE5-B77E-1896881D216C}">
      <text>
        <r>
          <rPr>
            <b/>
            <sz val="9"/>
            <color indexed="81"/>
            <rFont val="Tahoma"/>
            <family val="2"/>
          </rPr>
          <t>Note:</t>
        </r>
        <r>
          <rPr>
            <sz val="9"/>
            <color indexed="81"/>
            <rFont val="Tahoma"/>
            <family val="2"/>
          </rPr>
          <t xml:space="preserve">
Enter number in decimal format.
Example:  00.000000</t>
        </r>
      </text>
    </comment>
    <comment ref="AE18" authorId="0" shapeId="0" xr:uid="{197C2BC6-9B39-477B-BD9C-AFC6DC9462A7}">
      <text>
        <r>
          <rPr>
            <b/>
            <sz val="9"/>
            <color indexed="81"/>
            <rFont val="Tahoma"/>
            <family val="2"/>
          </rPr>
          <t>Note:</t>
        </r>
        <r>
          <rPr>
            <sz val="9"/>
            <color indexed="81"/>
            <rFont val="Tahoma"/>
            <family val="2"/>
          </rPr>
          <t xml:space="preserve">
Enter number in decimal format.
Example:  00.000000</t>
        </r>
      </text>
    </comment>
    <comment ref="Z135" authorId="0" shapeId="0" xr:uid="{F31ADDC5-1E25-4DA4-A035-C6C48D3E869F}">
      <text>
        <r>
          <rPr>
            <b/>
            <sz val="9"/>
            <color indexed="81"/>
            <rFont val="Tahoma"/>
            <family val="2"/>
          </rPr>
          <t>Note:</t>
        </r>
        <r>
          <rPr>
            <sz val="9"/>
            <color indexed="81"/>
            <rFont val="Tahoma"/>
            <family val="2"/>
          </rPr>
          <t xml:space="preserve">
Use the drop down list to select your professional registration type.</t>
        </r>
      </text>
    </comment>
    <comment ref="Z141" authorId="0" shapeId="0" xr:uid="{10E060E5-AE95-4249-BE42-E5726CBF41E8}">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<sst xmlns="http://schemas.openxmlformats.org/spreadsheetml/2006/main" count="1258" uniqueCount="488">
  <si>
    <t>Development Information</t>
  </si>
  <si>
    <t>Name:</t>
  </si>
  <si>
    <t>Proposed Impervious Area (PIA)</t>
  </si>
  <si>
    <t>Pre-Development</t>
  </si>
  <si>
    <t>Curve Number:</t>
  </si>
  <si>
    <t>(WQ)</t>
  </si>
  <si>
    <t>(2-yr)</t>
  </si>
  <si>
    <t>(5-yr)</t>
  </si>
  <si>
    <t>(10-yr)</t>
  </si>
  <si>
    <t>(25-yr)</t>
  </si>
  <si>
    <t>(100-yr)</t>
  </si>
  <si>
    <t>Post-Development</t>
  </si>
  <si>
    <t>Post Total</t>
  </si>
  <si>
    <t>Pre Total</t>
  </si>
  <si>
    <t>Emergency Spillway</t>
  </si>
  <si>
    <t>Outfall Location</t>
  </si>
  <si>
    <t>Pond Stage-Area-Storage Summary</t>
  </si>
  <si>
    <t>Elevation</t>
  </si>
  <si>
    <t>Area</t>
  </si>
  <si>
    <t>Professional Engineer Certification</t>
  </si>
  <si>
    <t>Address:</t>
  </si>
  <si>
    <t>Date:</t>
  </si>
  <si>
    <t>Approval Status:</t>
  </si>
  <si>
    <t>Comments:</t>
  </si>
  <si>
    <t>Material</t>
  </si>
  <si>
    <t>Concrete</t>
  </si>
  <si>
    <t>Metal</t>
  </si>
  <si>
    <t>HDPP</t>
  </si>
  <si>
    <t>PVC</t>
  </si>
  <si>
    <t>HDPE</t>
  </si>
  <si>
    <t>Material:</t>
  </si>
  <si>
    <t>Other</t>
  </si>
  <si>
    <t>Select</t>
  </si>
  <si>
    <t>Shape:</t>
  </si>
  <si>
    <t>Shape</t>
  </si>
  <si>
    <t>BMP ID:</t>
  </si>
  <si>
    <t>Existing Impervious Area (EIA):</t>
  </si>
  <si>
    <t>acres</t>
  </si>
  <si>
    <r>
      <t>Water Quality Volume (WQ</t>
    </r>
    <r>
      <rPr>
        <vertAlign val="subscript"/>
        <sz val="10"/>
        <color theme="1"/>
        <rFont val="Calibri"/>
        <family val="2"/>
      </rPr>
      <t>v</t>
    </r>
    <r>
      <rPr>
        <sz val="10"/>
        <color theme="1"/>
        <rFont val="Calibri"/>
        <family val="2"/>
        <scheme val="minor"/>
      </rPr>
      <t>):</t>
    </r>
  </si>
  <si>
    <r>
      <t>ft</t>
    </r>
    <r>
      <rPr>
        <vertAlign val="superscript"/>
        <sz val="8"/>
        <color theme="1"/>
        <rFont val="Calibri"/>
        <family val="2"/>
      </rPr>
      <t>3</t>
    </r>
  </si>
  <si>
    <r>
      <t>WQ</t>
    </r>
    <r>
      <rPr>
        <vertAlign val="subscript"/>
        <sz val="10"/>
        <color theme="1"/>
        <rFont val="Calibri"/>
        <family val="2"/>
      </rPr>
      <t>v</t>
    </r>
    <r>
      <rPr>
        <sz val="10"/>
        <color theme="1"/>
        <rFont val="Calibri"/>
        <family val="2"/>
        <scheme val="minor"/>
      </rPr>
      <t xml:space="preserve"> = </t>
    </r>
  </si>
  <si>
    <r>
      <t>ft</t>
    </r>
    <r>
      <rPr>
        <vertAlign val="superscript"/>
        <sz val="10"/>
        <color theme="1"/>
        <rFont val="Calibri"/>
        <family val="2"/>
      </rPr>
      <t>2</t>
    </r>
  </si>
  <si>
    <t>Width:</t>
  </si>
  <si>
    <t>Inv. EL</t>
  </si>
  <si>
    <t>in</t>
  </si>
  <si>
    <t>ft</t>
  </si>
  <si>
    <t>Length:</t>
  </si>
  <si>
    <t>Crest EL.:</t>
  </si>
  <si>
    <t>Latitude:</t>
  </si>
  <si>
    <t>Longitude:</t>
  </si>
  <si>
    <t>Basin ID:</t>
  </si>
  <si>
    <t>Total Area:</t>
  </si>
  <si>
    <t>Cumulative Vol.</t>
  </si>
  <si>
    <r>
      <t>WQ</t>
    </r>
    <r>
      <rPr>
        <vertAlign val="subscript"/>
        <sz val="15"/>
        <color theme="1"/>
        <rFont val="Calibri"/>
        <family val="2"/>
      </rPr>
      <t>v</t>
    </r>
    <r>
      <rPr>
        <sz val="10"/>
        <color theme="1"/>
        <rFont val="Calibri"/>
        <family val="2"/>
        <scheme val="minor"/>
      </rPr>
      <t xml:space="preserve"> Required:</t>
    </r>
  </si>
  <si>
    <r>
      <t>WQ</t>
    </r>
    <r>
      <rPr>
        <vertAlign val="subscript"/>
        <sz val="15"/>
        <color theme="1"/>
        <rFont val="Calibri"/>
        <family val="2"/>
      </rPr>
      <t>v</t>
    </r>
    <r>
      <rPr>
        <sz val="10"/>
        <color theme="1"/>
        <rFont val="Calibri"/>
        <family val="2"/>
        <scheme val="minor"/>
      </rPr>
      <t xml:space="preserve"> Provided:</t>
    </r>
  </si>
  <si>
    <t>Width</t>
  </si>
  <si>
    <t>Time of Concentration (min):</t>
  </si>
  <si>
    <t>Additional Impervious Area (AIA) = PIA - EIA</t>
  </si>
  <si>
    <t>AIA =</t>
  </si>
  <si>
    <t>Design</t>
  </si>
  <si>
    <t>As-Built</t>
  </si>
  <si>
    <t>Water Quality Volume (WQv)</t>
  </si>
  <si>
    <t>WQv Required:</t>
  </si>
  <si>
    <t>WQv Provided:</t>
  </si>
  <si>
    <t>Reviewed:</t>
  </si>
  <si>
    <r>
      <t>Pre Q
(ft</t>
    </r>
    <r>
      <rPr>
        <vertAlign val="superscript"/>
        <sz val="8"/>
        <color theme="1"/>
        <rFont val="Calibri"/>
        <family val="2"/>
      </rPr>
      <t>3</t>
    </r>
    <r>
      <rPr>
        <sz val="10"/>
        <color theme="1"/>
        <rFont val="Calibri"/>
        <family val="2"/>
        <scheme val="minor"/>
      </rPr>
      <t>/s)</t>
    </r>
  </si>
  <si>
    <r>
      <t>Total Post 
Q (ft</t>
    </r>
    <r>
      <rPr>
        <vertAlign val="superscript"/>
        <sz val="8"/>
        <color theme="1"/>
        <rFont val="Calibri"/>
        <family val="2"/>
      </rPr>
      <t>3</t>
    </r>
    <r>
      <rPr>
        <sz val="10"/>
        <color theme="1"/>
        <rFont val="Calibri"/>
        <family val="2"/>
        <scheme val="minor"/>
      </rPr>
      <t>/s)</t>
    </r>
  </si>
  <si>
    <t>Type</t>
  </si>
  <si>
    <t>Enter data as applicable for the proposed design.</t>
  </si>
  <si>
    <t>General Instructions</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</si>
  <si>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</si>
  <si>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Field Types</t>
  </si>
  <si>
    <t>Supplemental Instructions</t>
  </si>
  <si>
    <t>Use the drop down list to select a shape.</t>
  </si>
  <si>
    <t>Riprap</t>
  </si>
  <si>
    <t>Earthen</t>
  </si>
  <si>
    <t>Geotextile</t>
  </si>
  <si>
    <t>Total Post Q &gt; Pre Q</t>
  </si>
  <si>
    <t>Max Stage</t>
  </si>
  <si>
    <t>Total Post</t>
  </si>
  <si>
    <t>Post Total not completed</t>
  </si>
  <si>
    <t>Length</t>
  </si>
  <si>
    <t>Crest</t>
  </si>
  <si>
    <t>Top</t>
  </si>
  <si>
    <t>E. Spillway</t>
  </si>
  <si>
    <t>Design Response</t>
  </si>
  <si>
    <t>Emergency Spillway Section not completed</t>
  </si>
  <si>
    <t>Pre Total not compeleted</t>
  </si>
  <si>
    <t>Max Stage:</t>
  </si>
  <si>
    <t>Automated Review Checks</t>
  </si>
  <si>
    <t>Form Section</t>
  </si>
  <si>
    <t>Pre-Development:</t>
  </si>
  <si>
    <t>Post-Development:</t>
  </si>
  <si>
    <t>Emergency Spillway:</t>
  </si>
  <si>
    <t>Total Post Q:</t>
  </si>
  <si>
    <t>Photographs, at a minimum, shall include the following:</t>
  </si>
  <si>
    <t>The developer / owner shall retain the services of a professional land surveyor to:</t>
  </si>
  <si>
    <t>Develop an as-built drawing.</t>
  </si>
  <si>
    <t>a.</t>
  </si>
  <si>
    <t>b.</t>
  </si>
  <si>
    <t>The developer shall retain the services of a professional engineer to:</t>
  </si>
  <si>
    <t>H&amp;H Calculations</t>
  </si>
  <si>
    <t>Photographs</t>
  </si>
  <si>
    <t>Storm sewers showing pipes, inlets, junction boxes, outlets, outlet protection, and invert elevations</t>
  </si>
  <si>
    <t>Detail of emergency spillway showing elevations and dimensions</t>
  </si>
  <si>
    <t>Outlet pipe discharge location and outlet protection</t>
  </si>
  <si>
    <t>Emergency spillway and discharge location</t>
  </si>
  <si>
    <t>Prior to approval of the Final Plat.</t>
  </si>
  <si>
    <t>Provide ALL required attachments:</t>
  </si>
  <si>
    <t>As-Built Survey Drawing(s)</t>
  </si>
  <si>
    <t>As-built survey, at a minimum, shall include the following:</t>
  </si>
  <si>
    <t>The issuance of a Certificate of Occupancy; and/or,</t>
  </si>
  <si>
    <t>e.</t>
  </si>
  <si>
    <t>c.</t>
  </si>
  <si>
    <t>d.</t>
  </si>
  <si>
    <t>f.</t>
  </si>
  <si>
    <t>•</t>
  </si>
  <si>
    <t>Outfall Location:</t>
  </si>
  <si>
    <t>Latitude and/or Longitude not provided</t>
  </si>
  <si>
    <t>Max Stage for 2, 5, 10, and/or 25-year storm  &gt; Emergency Spillway Crest Elevation</t>
  </si>
  <si>
    <t xml:space="preserve">This is a calculated field.  Once the required information is entered, the orange highlight will be removed. </t>
  </si>
  <si>
    <t>Use the drop down list to select a material.</t>
  </si>
  <si>
    <t>Pond Top EL.:</t>
  </si>
  <si>
    <t>Review Status</t>
  </si>
  <si>
    <t>General design standards and requirements shall be as follows:</t>
  </si>
  <si>
    <t xml:space="preserve"> As-built Survey</t>
  </si>
  <si>
    <t xml:space="preserve"> As-built H&amp;H Calculations</t>
  </si>
  <si>
    <t xml:space="preserve"> O&amp;M Agreement</t>
  </si>
  <si>
    <t>Attachments:</t>
  </si>
  <si>
    <t xml:space="preserve"> Photos</t>
  </si>
  <si>
    <t xml:space="preserve"> Yes</t>
  </si>
  <si>
    <t xml:space="preserve"> No</t>
  </si>
  <si>
    <t xml:space="preserve"> Approved</t>
  </si>
  <si>
    <t xml:space="preserve"> Approved Contingent</t>
  </si>
  <si>
    <t xml:space="preserve"> Denied</t>
  </si>
  <si>
    <t xml:space="preserve"> Incomplete</t>
  </si>
  <si>
    <r>
      <t>Pre Q
(ft</t>
    </r>
    <r>
      <rPr>
        <vertAlign val="superscript"/>
        <sz val="9"/>
        <color theme="1"/>
        <rFont val="Calibri"/>
        <family val="2"/>
      </rPr>
      <t>3</t>
    </r>
    <r>
      <rPr>
        <sz val="9"/>
        <color theme="1"/>
        <rFont val="Calibri"/>
        <family val="2"/>
        <scheme val="minor"/>
      </rPr>
      <t>/s)</t>
    </r>
  </si>
  <si>
    <r>
      <t>Total Post 
Q (ft</t>
    </r>
    <r>
      <rPr>
        <vertAlign val="superscript"/>
        <sz val="9"/>
        <color theme="1"/>
        <rFont val="Calibri"/>
        <family val="2"/>
      </rPr>
      <t>3</t>
    </r>
    <r>
      <rPr>
        <sz val="9"/>
        <color theme="1"/>
        <rFont val="Calibri"/>
        <family val="2"/>
        <scheme val="minor"/>
      </rPr>
      <t>/s)</t>
    </r>
  </si>
  <si>
    <t xml:space="preserve"> Design Drawings</t>
  </si>
  <si>
    <t xml:space="preserve"> H&amp;H Calculations</t>
  </si>
  <si>
    <t xml:space="preserve"> Drainage Basin Maps</t>
  </si>
  <si>
    <t>Drainage Area (acre):</t>
  </si>
  <si>
    <t>Owner's Information</t>
  </si>
  <si>
    <t xml:space="preserve"> Not Applicable</t>
  </si>
  <si>
    <t xml:space="preserve">Name: </t>
  </si>
  <si>
    <t xml:space="preserve">Address: </t>
  </si>
  <si>
    <t xml:space="preserve">Email: </t>
  </si>
  <si>
    <t xml:space="preserve">HOA Name: </t>
  </si>
  <si>
    <t xml:space="preserve">State: </t>
  </si>
  <si>
    <t xml:space="preserve">Zip Code: </t>
  </si>
  <si>
    <t xml:space="preserve">Phone: </t>
  </si>
  <si>
    <t xml:space="preserve">Title: </t>
  </si>
  <si>
    <t>HOA Contact:</t>
  </si>
  <si>
    <t xml:space="preserve">Detail Attached: </t>
  </si>
  <si>
    <t>No</t>
  </si>
  <si>
    <t>Lat</t>
  </si>
  <si>
    <t>Long</t>
  </si>
  <si>
    <t>Lat &amp; Long</t>
  </si>
  <si>
    <r>
      <t>WQ</t>
    </r>
    <r>
      <rPr>
        <vertAlign val="subscript"/>
        <sz val="10"/>
        <color theme="1"/>
        <rFont val="Calibri"/>
        <family val="2"/>
        <scheme val="minor"/>
      </rPr>
      <t>v</t>
    </r>
    <r>
      <rPr>
        <sz val="10"/>
        <color theme="1"/>
        <rFont val="Calibri"/>
        <family val="2"/>
        <scheme val="minor"/>
      </rPr>
      <t>:</t>
    </r>
  </si>
  <si>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</si>
  <si>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WQv</t>
  </si>
  <si>
    <t>Pre Q</t>
  </si>
  <si>
    <t>Pond In Q</t>
  </si>
  <si>
    <t>As-Built does not match Design</t>
  </si>
  <si>
    <t>Pre Q:</t>
  </si>
  <si>
    <t>Montgomery</t>
  </si>
  <si>
    <t>Hoover</t>
  </si>
  <si>
    <t>Prattville</t>
  </si>
  <si>
    <t>Mobile</t>
  </si>
  <si>
    <t xml:space="preserve">Select City: </t>
  </si>
  <si>
    <t xml:space="preserve">Trash Rack: </t>
  </si>
  <si>
    <t>NA</t>
  </si>
  <si>
    <t>Yes</t>
  </si>
  <si>
    <t xml:space="preserve">Width: </t>
  </si>
  <si>
    <t xml:space="preserve">Diameter: </t>
  </si>
  <si>
    <t xml:space="preserve">Material: </t>
  </si>
  <si>
    <t xml:space="preserve">Shape: </t>
  </si>
  <si>
    <t xml:space="preserve">Length: </t>
  </si>
  <si>
    <t>Round</t>
  </si>
  <si>
    <t>Rectangle</t>
  </si>
  <si>
    <t>Trapezoid</t>
  </si>
  <si>
    <t>Square</t>
  </si>
  <si>
    <t xml:space="preserve"> Photographs</t>
  </si>
  <si>
    <t xml:space="preserve"> Maintenance Summary</t>
  </si>
  <si>
    <t>Development Information:</t>
  </si>
  <si>
    <t xml:space="preserve">Date: </t>
  </si>
  <si>
    <t xml:space="preserve">BMP ID: </t>
  </si>
  <si>
    <t xml:space="preserve">Latitude: </t>
  </si>
  <si>
    <t xml:space="preserve">Longitude: </t>
  </si>
  <si>
    <t xml:space="preserve">Contact: </t>
  </si>
  <si>
    <t>Maintenance Summary</t>
  </si>
  <si>
    <t>Inspection Observations</t>
  </si>
  <si>
    <t>Clogged or obstructed?</t>
  </si>
  <si>
    <t>Damaged?</t>
  </si>
  <si>
    <t>Excessive trash accumulation?</t>
  </si>
  <si>
    <t>Excessive sediment accumulation?</t>
  </si>
  <si>
    <t>Follow-up Actions</t>
  </si>
  <si>
    <t xml:space="preserve"> No follow-up actions are required</t>
  </si>
  <si>
    <t xml:space="preserve"> Deficiencies noted and maintenance required</t>
  </si>
  <si>
    <t>Maintenance Needed</t>
  </si>
  <si>
    <t xml:space="preserve"> Clean</t>
  </si>
  <si>
    <t xml:space="preserve"> Repair</t>
  </si>
  <si>
    <t xml:space="preserve"> bags</t>
  </si>
  <si>
    <t xml:space="preserve"> tons</t>
  </si>
  <si>
    <t xml:space="preserve"> cy</t>
  </si>
  <si>
    <t xml:space="preserve">Company: </t>
  </si>
  <si>
    <t xml:space="preserve">Signature: </t>
  </si>
  <si>
    <t>Trash / debris accumulation?</t>
  </si>
  <si>
    <t>Outlet Pipe &amp; Headwall</t>
  </si>
  <si>
    <t xml:space="preserve"> Remove trash</t>
  </si>
  <si>
    <t xml:space="preserve"> Remove sediment</t>
  </si>
  <si>
    <t xml:space="preserve"> Remove trash / debris</t>
  </si>
  <si>
    <t xml:space="preserve">Comments: </t>
  </si>
  <si>
    <t xml:space="preserve">Select: </t>
  </si>
  <si>
    <t xml:space="preserve">Orifice: </t>
  </si>
  <si>
    <t xml:space="preserve">Crest EL: </t>
  </si>
  <si>
    <t xml:space="preserve">Attachments: </t>
  </si>
  <si>
    <t xml:space="preserve">Buildings / Structures: </t>
  </si>
  <si>
    <t xml:space="preserve">Driveways / Sidewalks: </t>
  </si>
  <si>
    <t xml:space="preserve">Roads: </t>
  </si>
  <si>
    <t xml:space="preserve">Parking: </t>
  </si>
  <si>
    <t xml:space="preserve">Other: </t>
  </si>
  <si>
    <t xml:space="preserve">Total PIA: </t>
  </si>
  <si>
    <t>Select either "Yes" or "No" by placing an "X" in the appropriate box.  Once an "X" is entered, the green highlight will be removed.</t>
  </si>
  <si>
    <t>Automated Review Checks:  Once information and data are entered into the form, the form will check the information entered and identify any potential issues or concerns.  Prior to printing the form, all automated comments shall be resolved.</t>
  </si>
  <si>
    <t>Automated Comments</t>
  </si>
  <si>
    <t xml:space="preserve"> Soils Data</t>
  </si>
  <si>
    <t xml:space="preserve"> Maintenance Plan</t>
  </si>
  <si>
    <t xml:space="preserve">Hydrologic Soil Group: </t>
  </si>
  <si>
    <t xml:space="preserve"> A</t>
  </si>
  <si>
    <t xml:space="preserve"> B</t>
  </si>
  <si>
    <t xml:space="preserve"> C</t>
  </si>
  <si>
    <t xml:space="preserve"> D</t>
  </si>
  <si>
    <t xml:space="preserve">Water Table Depth: </t>
  </si>
  <si>
    <t xml:space="preserve">Saturated Hydraulic Conductivity: </t>
  </si>
  <si>
    <t>in/hr</t>
  </si>
  <si>
    <t xml:space="preserve">Type: </t>
  </si>
  <si>
    <t xml:space="preserve">Pretreatment: </t>
  </si>
  <si>
    <t>Depth</t>
  </si>
  <si>
    <t>Bottom EL</t>
  </si>
  <si>
    <t>Top EL</t>
  </si>
  <si>
    <t>ea</t>
  </si>
  <si>
    <t>Diameter</t>
  </si>
  <si>
    <t xml:space="preserve"> Underdrain Pipe(s)</t>
  </si>
  <si>
    <t xml:space="preserve">Outlet Pipe Inv. EL: </t>
  </si>
  <si>
    <t xml:space="preserve">Perforated Pipe Inv. EL: </t>
  </si>
  <si>
    <t xml:space="preserve"> System Cross Section</t>
  </si>
  <si>
    <t xml:space="preserve"> No Underdrain System</t>
  </si>
  <si>
    <t>Pretreatment Area</t>
  </si>
  <si>
    <t>Underdrain Pipe(s)</t>
  </si>
  <si>
    <t>Discharge Summary</t>
  </si>
  <si>
    <r>
      <t>In Q
(ft</t>
    </r>
    <r>
      <rPr>
        <vertAlign val="superscript"/>
        <sz val="8"/>
        <color theme="1"/>
        <rFont val="Calibri"/>
        <family val="2"/>
      </rPr>
      <t>3</t>
    </r>
    <r>
      <rPr>
        <sz val="10"/>
        <color theme="1"/>
        <rFont val="Calibri"/>
        <family val="2"/>
        <scheme val="minor"/>
      </rPr>
      <t>/s)</t>
    </r>
  </si>
  <si>
    <r>
      <t>Out Q 
(ft</t>
    </r>
    <r>
      <rPr>
        <vertAlign val="superscript"/>
        <sz val="8"/>
        <color theme="1"/>
        <rFont val="Calibri"/>
        <family val="2"/>
      </rPr>
      <t>3</t>
    </r>
    <r>
      <rPr>
        <sz val="10"/>
        <color theme="1"/>
        <rFont val="Calibri"/>
        <family val="2"/>
        <scheme val="minor"/>
      </rPr>
      <t>/s)</t>
    </r>
  </si>
  <si>
    <t>ES Tot</t>
  </si>
  <si>
    <t xml:space="preserve">Inv. EL: </t>
  </si>
  <si>
    <t>Discharge Summary:</t>
  </si>
  <si>
    <r>
      <t>In Q
(ft</t>
    </r>
    <r>
      <rPr>
        <vertAlign val="superscript"/>
        <sz val="9"/>
        <color theme="1"/>
        <rFont val="Calibri"/>
        <family val="2"/>
      </rPr>
      <t>3</t>
    </r>
    <r>
      <rPr>
        <sz val="9"/>
        <color theme="1"/>
        <rFont val="Calibri"/>
        <family val="2"/>
        <scheme val="minor"/>
      </rPr>
      <t>/s)</t>
    </r>
  </si>
  <si>
    <r>
      <t>Out Q 
(ft</t>
    </r>
    <r>
      <rPr>
        <vertAlign val="superscript"/>
        <sz val="9"/>
        <color theme="1"/>
        <rFont val="Calibri"/>
        <family val="2"/>
      </rPr>
      <t>3</t>
    </r>
    <r>
      <rPr>
        <sz val="9"/>
        <color theme="1"/>
        <rFont val="Calibri"/>
        <family val="2"/>
        <scheme val="minor"/>
      </rPr>
      <t>/s)</t>
    </r>
  </si>
  <si>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</si>
  <si>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Once the Design, As-built, or Inspection Forms are completed, there should be no green, yellow, or orange highlighted fields.</t>
  </si>
  <si>
    <t>The Supplemental Instructions provide additional guidance and design standards.</t>
  </si>
  <si>
    <r>
      <t xml:space="preserve">Form 4D - Bioretention Area
</t>
    </r>
    <r>
      <rPr>
        <b/>
        <sz val="16"/>
        <color theme="1"/>
        <rFont val="Calibri"/>
        <family val="2"/>
        <scheme val="minor"/>
      </rPr>
      <t>Annual Inspection Form</t>
    </r>
  </si>
  <si>
    <t>Form 3D - Bioretention Area
As-Built Certification Form</t>
  </si>
  <si>
    <t>Form 2D - Bioretention Area
Design Form</t>
  </si>
  <si>
    <t xml:space="preserve"> Vegetation Plan</t>
  </si>
  <si>
    <t>Bioretention Area</t>
  </si>
  <si>
    <t xml:space="preserve">Drainage Area: </t>
  </si>
  <si>
    <t xml:space="preserve">Land Slope: </t>
  </si>
  <si>
    <t>%</t>
  </si>
  <si>
    <t>Cleanout Pipe(s)</t>
  </si>
  <si>
    <t xml:space="preserve">Mulch: </t>
  </si>
  <si>
    <t xml:space="preserve">Bioretention Media: </t>
  </si>
  <si>
    <t xml:space="preserve">Stone: </t>
  </si>
  <si>
    <t>Overflow Structure</t>
  </si>
  <si>
    <t>Outlet Pipe</t>
  </si>
  <si>
    <t>Internal Water Storage</t>
  </si>
  <si>
    <t xml:space="preserve">Depth: </t>
  </si>
  <si>
    <t xml:space="preserve">Drain Time: </t>
  </si>
  <si>
    <t>hrs</t>
  </si>
  <si>
    <t>Ponded Water</t>
  </si>
  <si>
    <t xml:space="preserve">No. Pipes: </t>
  </si>
  <si>
    <t xml:space="preserve"> No Cleanout Pipe(s)</t>
  </si>
  <si>
    <t xml:space="preserve">Surface Area: </t>
  </si>
  <si>
    <r>
      <t>ft</t>
    </r>
    <r>
      <rPr>
        <vertAlign val="superscript"/>
        <sz val="10"/>
        <color theme="1"/>
        <rFont val="Calibri"/>
        <family val="2"/>
        <scheme val="minor"/>
      </rPr>
      <t>2</t>
    </r>
  </si>
  <si>
    <t>Stage-Area-Storage Summary</t>
  </si>
  <si>
    <t>The maximum recommended drainage area is 5.0 acres, but 0.5 to 2.0 acres is preferred;</t>
  </si>
  <si>
    <t>Seasonally high-water table shall be greater than 6-feet below the surface;</t>
  </si>
  <si>
    <t>Bio retention areas shall be located in areas where the slope is 5% or less;</t>
  </si>
  <si>
    <t>Preferred in-situ soils shall be hydrologic soil group A or B;</t>
  </si>
  <si>
    <t>g.</t>
  </si>
  <si>
    <t>If internal water storage is provided, internal water storage shall drain within 4 days;</t>
  </si>
  <si>
    <t>h.</t>
  </si>
  <si>
    <t>i.</t>
  </si>
  <si>
    <t>The maintenance plan shall address the following:</t>
  </si>
  <si>
    <t>Mulching</t>
  </si>
  <si>
    <t>Re-planting</t>
  </si>
  <si>
    <t>Weeding</t>
  </si>
  <si>
    <t>Routine inspections</t>
  </si>
  <si>
    <t>Storm event inspections</t>
  </si>
  <si>
    <t>Fertilization</t>
  </si>
  <si>
    <t>Unclogging underdrain pipes</t>
  </si>
  <si>
    <t>Pruning</t>
  </si>
  <si>
    <t>Sediment removal</t>
  </si>
  <si>
    <t>Trash removal</t>
  </si>
  <si>
    <t>Mulch removal from outlets</t>
  </si>
  <si>
    <t>j.</t>
  </si>
  <si>
    <t>k.</t>
  </si>
  <si>
    <t xml:space="preserve"> Field Test Performed: </t>
  </si>
  <si>
    <t xml:space="preserve">Bottom EL: </t>
  </si>
  <si>
    <t xml:space="preserve">Top EL: </t>
  </si>
  <si>
    <t>Drain Time</t>
  </si>
  <si>
    <t xml:space="preserve">Int. Water Storage: </t>
  </si>
  <si>
    <t xml:space="preserve">Ponded Water: </t>
  </si>
  <si>
    <t xml:space="preserve"> No Outflow Structure</t>
  </si>
  <si>
    <t xml:space="preserve"> No Overflow Structure</t>
  </si>
  <si>
    <t>Use the as-built survey data to complete Form 3D – Bioretention Area As-built Certification Form;</t>
  </si>
  <si>
    <t>Poor vegetation / ground cover?</t>
  </si>
  <si>
    <t>Ponded water?</t>
  </si>
  <si>
    <t>Inadequate mulch thickness?</t>
  </si>
  <si>
    <t>Vegetation</t>
  </si>
  <si>
    <t>Dead vegetation / plants present?</t>
  </si>
  <si>
    <t>Vegetation / plants need pruning?</t>
  </si>
  <si>
    <t>Excessive weeds?</t>
  </si>
  <si>
    <t xml:space="preserve"> Replace Plants</t>
  </si>
  <si>
    <t xml:space="preserve"> Prune</t>
  </si>
  <si>
    <t xml:space="preserve"> Remove Weeds</t>
  </si>
  <si>
    <t xml:space="preserve"> Repair vegetation / ground cover</t>
  </si>
  <si>
    <t xml:space="preserve"> Repair mulch</t>
  </si>
  <si>
    <t xml:space="preserve"> Unclog / Clean</t>
  </si>
  <si>
    <t xml:space="preserve">Have Additional inspections been performed? </t>
  </si>
  <si>
    <t xml:space="preserve">Has vegetation plan been updated? </t>
  </si>
  <si>
    <t xml:space="preserve">Has maintenance plan been updated? </t>
  </si>
  <si>
    <t xml:space="preserve"> Documentation attached</t>
  </si>
  <si>
    <t xml:space="preserve"> Updated vegetation plan attached</t>
  </si>
  <si>
    <t xml:space="preserve"> Updated maintenance plan attached</t>
  </si>
  <si>
    <t>Inspect the bioretention area to determine:</t>
  </si>
  <si>
    <t>If the bioretention area cotinues to function as it was originally designed; and,</t>
  </si>
  <si>
    <t>Complete Form 4D - Bioretention Area Annual Inspection Form; and,</t>
  </si>
  <si>
    <t>Perform a field survey of the constructed bioretention area; and,</t>
  </si>
  <si>
    <t>General overview of the bioretention area</t>
  </si>
  <si>
    <t>Pipes that discharge into the bioretention area</t>
  </si>
  <si>
    <t>Location where the bioretention area discharges into receiving stream, culvert, or channel</t>
  </si>
  <si>
    <t>Revision Date:</t>
  </si>
  <si>
    <t>Page 1 of 4</t>
  </si>
  <si>
    <t>Page 3 of 3</t>
  </si>
  <si>
    <t>Page 2 of 3</t>
  </si>
  <si>
    <t>Page 1 of 3</t>
  </si>
  <si>
    <t>Page 4 of 4</t>
  </si>
  <si>
    <t>Page 3 of 4</t>
  </si>
  <si>
    <t>Page 2 of 4</t>
  </si>
  <si>
    <t>Bioretention Area:</t>
  </si>
  <si>
    <t xml:space="preserve">Discharge Summary: </t>
  </si>
  <si>
    <t>Land slope exceeds the recommended 5% maximum</t>
  </si>
  <si>
    <t>Drain time exceeds the recommended 12 hours</t>
  </si>
  <si>
    <t>Drainage Area:</t>
  </si>
  <si>
    <t>Land Slope:</t>
  </si>
  <si>
    <t>Internal Water Storage:</t>
  </si>
  <si>
    <t>Ponded Water:</t>
  </si>
  <si>
    <t>Drainage area exceeds the recommended 5.0 acre maximum</t>
  </si>
  <si>
    <t>Bioretention Area In Q:</t>
  </si>
  <si>
    <t>Jefferson</t>
  </si>
  <si>
    <t>Velocity
(ft/s)</t>
  </si>
  <si>
    <t>Velocity:</t>
  </si>
  <si>
    <t>Effective Date:</t>
  </si>
  <si>
    <t>1 February 2020</t>
  </si>
  <si>
    <t>1 October 2020</t>
  </si>
  <si>
    <t>1 October 2015</t>
  </si>
  <si>
    <t>1 July 2018</t>
  </si>
  <si>
    <t>Type:</t>
  </si>
  <si>
    <t>City</t>
  </si>
  <si>
    <t>County</t>
  </si>
  <si>
    <t>Maintenance Agreement:</t>
  </si>
  <si>
    <t xml:space="preserve"> Covenant</t>
  </si>
  <si>
    <t>Entity Type:</t>
  </si>
  <si>
    <t>Registration</t>
  </si>
  <si>
    <t>Acronym</t>
  </si>
  <si>
    <t>Certified Erosion, Sediment and Stormwater Inspector</t>
  </si>
  <si>
    <t xml:space="preserve">CESSWI No.: </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</si>
  <si>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</si>
  <si>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</si>
  <si>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</si>
  <si>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</si>
  <si>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</si>
  <si>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</si>
  <si>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</si>
  <si>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</si>
  <si>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</si>
  <si>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</si>
  <si>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Velocity</t>
  </si>
  <si>
    <t>Provides the required water quality volume (WQv);</t>
  </si>
  <si>
    <t>Will not adversley impact and/or cause flooding of structures within the development and downstream of the development;</t>
  </si>
  <si>
    <t>Drainage areas shown in the hydrology and hydraulic (H&amp;H) calculations drain into the underground detention system; and,</t>
  </si>
  <si>
    <t xml:space="preserve">Post-development runoff mimics pre-development hydrology to the maximum extent practicable (MEP). </t>
  </si>
  <si>
    <t>By affixing my professional seal and signature on this form, I hereby certify that the bioretention area:</t>
  </si>
  <si>
    <t>Professional Registration:</t>
  </si>
  <si>
    <t>Registration Number:</t>
  </si>
  <si>
    <t>The developer/owner shall retain the services of a registered professional to:</t>
  </si>
  <si>
    <t>Requires the above described maintenance in order to function as it was designed.  Upon completion of the required maintenance activities, I shall reinspect the bioretention area and provide a supplemental Annual Inspection Form.</t>
  </si>
  <si>
    <t>By affixing my signature on this form, I hereby certify that the bioretention area:</t>
  </si>
  <si>
    <t>Registered Professional Certification</t>
  </si>
  <si>
    <t>Printing the form may require some adjustments to the print settings for the printer being used.</t>
  </si>
  <si>
    <t>Home Owners Association (HOA) Information</t>
  </si>
  <si>
    <t>By affixing my professional seal and signature on this form, I hereby certify that the bioretention area has been constructed in accordance with the approved design.  I further certify that the drainage areas shown in the approved hydrology and hydraulic (H&amp;H) calculations do in fact drain into the bioretention area and that the post-development runoff mimics pre-development hydrology to the maximum extent practicable (MEP).</t>
  </si>
  <si>
    <t>The calculation methodology shall utilize the National Resource Conservation Resources (NRCS) Urban</t>
  </si>
  <si>
    <t>All applicable developments shall be responsible for ensuring that post-development hydrology mimics pre-</t>
  </si>
  <si>
    <t>The bioretention area shall allow the volume of stormwater associated with the WQv to drain slowly from the</t>
  </si>
  <si>
    <t>bioretention area within a 48-hour period;</t>
  </si>
  <si>
    <t>event without allowing any discharge from the emergency spillway;</t>
  </si>
  <si>
    <t>resulting from a 100-year, 24-hour storm event.  A minimum freeboard of 1-foot above the maximum stage</t>
  </si>
  <si>
    <t>anticipated to prevent overtopping;</t>
  </si>
  <si>
    <t>drainage areas, time of concentration, curve number, pre-development peak discharges, post-development peak</t>
  </si>
  <si>
    <t>discharges, outlet structure geometry, emergency spillway geometry, pond stage-area-storage summary, pond</t>
  </si>
  <si>
    <t>discharge summary, inflow and outflow hydrographs, and outlet pipe velocities.</t>
  </si>
  <si>
    <t>The latest version of the Alabama Low Impact Development Handbook for the State of Alabama is incorporated</t>
  </si>
  <si>
    <t>by reference; and,</t>
  </si>
  <si>
    <t>Biroretention areas shall be designed in accordance with the Alabama Low Impact Development Handbook for the</t>
  </si>
  <si>
    <t>State of Alabama.  Applicable design requirements include but are not limited to the following.</t>
  </si>
  <si>
    <t>A minimum of 200 square fee footprint is recommended or approximately 5% to 8% of the contributing</t>
  </si>
  <si>
    <t>impervious area;</t>
  </si>
  <si>
    <t>Ponded water shall drain within 12 hours, and stormwater shall infiltrate the bioretention cell to 2-feet</t>
  </si>
  <si>
    <t>below the surface within 48 hours;</t>
  </si>
  <si>
    <t>Components of the bioretention area may include a pretreatment device, bioretention area, overflow</t>
  </si>
  <si>
    <t>structure, underdrain, cleanout pipes, and internal water storage; and,</t>
  </si>
  <si>
    <t xml:space="preserve">The vegetation plan shall address plant types, plant sizes, plant establishement, lime and fertilizer, </t>
  </si>
  <si>
    <t>and plant spacing.</t>
  </si>
  <si>
    <t>Site features to include but not limited to roads, rights-of-way, property lines, driveways, buildings, parking</t>
  </si>
  <si>
    <t>areas, fences, retaining walls, dumpster pads, etc.</t>
  </si>
  <si>
    <t>Location of the bioretention area, contours, spot elevations, outlet structure, outlet pipe, emergency</t>
  </si>
  <si>
    <t>spillway, and outlet protection</t>
  </si>
  <si>
    <t xml:space="preserve">If maintenance is required to ensure that the bioretention area functions as it was originally designed, </t>
  </si>
  <si>
    <t>the developer / owner shall submit an updated Form 4D – Bioretention Area Annual Inspection Form when</t>
  </si>
  <si>
    <t>all maintenance activities have been completed.</t>
  </si>
  <si>
    <t>If any maintenance is required; or,</t>
  </si>
  <si>
    <t>If an inspection is needed by a professional engineer.</t>
  </si>
  <si>
    <t>A registered professional shall include:</t>
  </si>
  <si>
    <t>CESSWI - Certified Erosion, Sediment, and Stormwater Inspector</t>
  </si>
  <si>
    <t>CPESC - Certified Professional in Erosion and Sediment Control</t>
  </si>
  <si>
    <t>CPMSM - Certified Professional in Municipal Stormwater Management</t>
  </si>
  <si>
    <t>CPSWQ - Certified Professional in Stormwater Quality</t>
  </si>
  <si>
    <t>PE - Professional Engineer</t>
  </si>
  <si>
    <t>QCI - Qualified Credentialed Inspector</t>
  </si>
  <si>
    <t>Suspect illicit discharge present?</t>
  </si>
  <si>
    <t>Current Logo</t>
  </si>
  <si>
    <t>This is a required field.  Once a number or text is entered, the green highlight will be removed.</t>
  </si>
  <si>
    <t>Elevation:</t>
  </si>
  <si>
    <t>Max Elev.
(ft)</t>
  </si>
  <si>
    <t xml:space="preserve">City: </t>
  </si>
  <si>
    <t>Comments?</t>
  </si>
  <si>
    <t>Engineering or Building No.:</t>
  </si>
  <si>
    <t>Permit Type:</t>
  </si>
  <si>
    <t>Engineering or Building No.</t>
  </si>
  <si>
    <t>Max Velocity:</t>
  </si>
  <si>
    <t>Drain time exceeds the recommended 96 hours</t>
  </si>
  <si>
    <t>Max Velocity</t>
  </si>
  <si>
    <t>Lookup Table</t>
  </si>
  <si>
    <t>E. Spillway Yes/No</t>
  </si>
  <si>
    <t>Emerg Spillway Yes/No</t>
  </si>
  <si>
    <t>Complete Design Form with the required design information.  Once the Design Form is completed, most of the Design section of the As-built Form will be prepopulated.</t>
  </si>
  <si>
    <t>Use the drop down list to select an orifice or weir.</t>
  </si>
  <si>
    <t>Requires a more detailed follow-up inspection by a professional engineer.</t>
  </si>
  <si>
    <t xml:space="preserve">Weir: </t>
  </si>
  <si>
    <t>Rainfall depths were obtained from NOAA Atlas 14, Volume 9, Version 2.</t>
  </si>
  <si>
    <t xml:space="preserve">Insp Report Due: </t>
  </si>
  <si>
    <t>30 Septbember</t>
  </si>
  <si>
    <t>1 September</t>
  </si>
  <si>
    <t>Insp Report Due:</t>
  </si>
  <si>
    <t xml:space="preserve">Seal: </t>
  </si>
  <si>
    <t>A bioretention area shall not be located within a floodplain or floodway;</t>
  </si>
  <si>
    <t>Installation of a bioretention area shall not adversely impact and/or cause flooding of properties</t>
  </si>
  <si>
    <t>located within, upstream, and/or downstream of the development;</t>
  </si>
  <si>
    <t>A stormwater pathway (i.e. piped storm sewer, overland flow, etc.) within the development shall</t>
  </si>
  <si>
    <t>be provided to convey the discharge resulting from a 100-year, 24-hour storm event in a manner that</t>
  </si>
  <si>
    <t>will not adversely impact and/or cause flooding of structures within the development;</t>
  </si>
  <si>
    <t>The principal spillway for a bioretention area shall be sized to convey the 25-year, 24-hour storm</t>
  </si>
  <si>
    <t>Each bioretention area shall provide for an emergency spillway designed to convey the discharge</t>
  </si>
  <si>
    <t>H&amp;H studies for a bioretention area shall include model network, existing drainage areas, proposed</t>
  </si>
  <si>
    <t>ENG No.</t>
  </si>
  <si>
    <t>Arch</t>
  </si>
  <si>
    <t>Elliptical</t>
  </si>
  <si>
    <t>V-notch</t>
  </si>
  <si>
    <t>(50-yr)</t>
  </si>
  <si>
    <t>Storms:</t>
  </si>
  <si>
    <t>2, 5, 10, and 25</t>
  </si>
  <si>
    <t>2, 5, 10, 25, 50, and 100</t>
  </si>
  <si>
    <r>
      <t>Total Post Q is &lt; -0.50 ft</t>
    </r>
    <r>
      <rPr>
        <vertAlign val="superscript"/>
        <sz val="10.8"/>
        <color theme="1"/>
        <rFont val="Calibri"/>
        <family val="2"/>
      </rPr>
      <t>3</t>
    </r>
    <r>
      <rPr>
        <sz val="11"/>
        <color theme="1"/>
        <rFont val="Calibri"/>
        <family val="2"/>
        <scheme val="minor"/>
      </rPr>
      <t>/s of Pre Q</t>
    </r>
  </si>
  <si>
    <r>
      <t>Peak Discharge (ft</t>
    </r>
    <r>
      <rPr>
        <vertAlign val="superscript"/>
        <sz val="8"/>
        <color theme="1"/>
        <rFont val="Calibri"/>
        <family val="2"/>
      </rPr>
      <t>3</t>
    </r>
    <r>
      <rPr>
        <sz val="10"/>
        <color theme="1"/>
        <rFont val="Calibri"/>
        <family val="2"/>
        <scheme val="minor"/>
      </rPr>
      <t>/s)</t>
    </r>
  </si>
  <si>
    <t xml:space="preserve">Mass Grading? </t>
  </si>
  <si>
    <t xml:space="preserve">Structural fill?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</si>
</sst>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00"/>
  </numFmts>
  <fonts count="31"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u/>
      <sz val="10"/>
      <color theme="10"/>
      <name val="Calibri"/>
      <family val="2"/>
      <scheme val="minor"/>
    </font>
    <font>
      <b/>
      <sz val="16"/>
      <color theme="1"/>
      <name val="Calibri"/>
      <family val="2"/>
      <scheme val="minor"/>
    </font>
    <font>
      <sz val="14"/>
      <color theme="1"/>
      <name val="Calibri"/>
      <family val="2"/>
      <scheme val="minor"/>
    </font>
    <font>
      <vertAlign val="superscript"/>
      <sz val="10"/>
      <color theme="1"/>
      <name val="Calibri"/>
      <family val="2"/>
      <scheme val="minor"/>
    </font>
    <font>
      <sz val="8"/>
      <name val="Calibri"/>
      <family val="2"/>
      <scheme val="minor"/>
    </font>
    <font>
      <sz val="10"/>
      <color theme="1"/>
      <name val="Calibri"/>
      <family val="2"/>
    </font>
    <font>
      <sz val="9"/>
      <color indexed="81"/>
      <name val="Tahoma"/>
      <family val="2"/>
    </font>
    <font>
      <b/>
      <sz val="9"/>
      <color indexed="81"/>
      <name val="Tahoma"/>
      <family val="2"/>
    </font>
    <font>
      <vertAlign val="superscript"/>
      <sz val="10.8"/>
      <color theme="1"/>
      <name val="Calibri"/>
      <family val="2"/>
    </font>
    <font>
      <b/>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medium">
        <color auto="1"/>
      </right>
      <top/>
      <bottom/>
      <diagonal/>
    </border>
  </borders>
  <cellStyleXfs count="2">
    <xf numFmtId="0" fontId="0" fillId="0" borderId="0"/>
    <xf numFmtId="0" fontId="11" fillId="0" borderId="0" applyNumberFormat="0" applyFill="0" applyBorder="0" applyAlignment="0" applyProtection="0"/>
  </cellStyleXfs>
  <cellXfs count="232">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horizontal="center" vertical="center"/>
    </xf>
    <xf numFmtId="0" fontId="9" fillId="0" borderId="0" xfId="0" applyFont="1" applyAlignment="1">
      <alignment vertical="center"/>
    </xf>
    <xf numFmtId="4"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0" fontId="3" fillId="4" borderId="0" xfId="0" applyFont="1" applyFill="1" applyAlignment="1">
      <alignment vertical="center"/>
    </xf>
    <xf numFmtId="0" fontId="3" fillId="4" borderId="0" xfId="0" applyFont="1" applyFill="1" applyAlignment="1">
      <alignment horizontal="right" vertical="center"/>
    </xf>
    <xf numFmtId="0" fontId="3" fillId="3" borderId="0" xfId="0" applyFont="1" applyFill="1"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6" borderId="0" xfId="0" applyFont="1" applyFill="1" applyAlignment="1">
      <alignment vertical="center"/>
    </xf>
    <xf numFmtId="166" fontId="15" fillId="0" borderId="0" xfId="0" applyNumberFormat="1" applyFont="1" applyAlignment="1">
      <alignment horizontal="center" vertical="center"/>
    </xf>
    <xf numFmtId="0" fontId="15" fillId="0" borderId="0" xfId="0"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horizontal="right"/>
    </xf>
    <xf numFmtId="0" fontId="12" fillId="0" borderId="0" xfId="0" applyFont="1" applyAlignment="1">
      <alignment vertical="center"/>
    </xf>
    <xf numFmtId="165" fontId="3" fillId="0" borderId="0" xfId="0" applyNumberFormat="1" applyFont="1" applyAlignment="1">
      <alignment vertical="center"/>
    </xf>
    <xf numFmtId="3" fontId="3"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horizontal="right" vertical="center" indent="1"/>
    </xf>
    <xf numFmtId="3" fontId="3" fillId="0" borderId="0" xfId="0" applyNumberFormat="1" applyFont="1" applyAlignment="1">
      <alignment horizontal="right" vertical="center"/>
    </xf>
    <xf numFmtId="0" fontId="18" fillId="0" borderId="0" xfId="0" applyFont="1" applyAlignment="1">
      <alignment horizontal="center" vertical="center" wrapText="1"/>
    </xf>
    <xf numFmtId="0" fontId="11"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166" fontId="14" fillId="0" borderId="0" xfId="0" applyNumberFormat="1" applyFont="1" applyAlignment="1">
      <alignment vertical="center"/>
    </xf>
    <xf numFmtId="0" fontId="3" fillId="6" borderId="0" xfId="0" applyFont="1" applyFill="1" applyAlignment="1">
      <alignment horizontal="left" vertical="center"/>
    </xf>
    <xf numFmtId="0" fontId="15" fillId="0" borderId="0" xfId="0" applyFont="1" applyAlignment="1">
      <alignment horizontal="left" vertical="center" wrapText="1"/>
    </xf>
    <xf numFmtId="0" fontId="15" fillId="0" borderId="0" xfId="0" applyFont="1" applyAlignment="1">
      <alignment vertical="center" wrapText="1"/>
    </xf>
    <xf numFmtId="0" fontId="3" fillId="3" borderId="1" xfId="0" applyFont="1" applyFill="1" applyBorder="1" applyAlignment="1">
      <alignment vertical="center"/>
    </xf>
    <xf numFmtId="0" fontId="3" fillId="0" borderId="0" xfId="0" applyFont="1" applyAlignment="1">
      <alignment vertical="top" wrapText="1"/>
    </xf>
    <xf numFmtId="0" fontId="8" fillId="3" borderId="1" xfId="0" applyFont="1" applyFill="1" applyBorder="1" applyAlignment="1">
      <alignment vertical="center"/>
    </xf>
    <xf numFmtId="0" fontId="1" fillId="0" borderId="0" xfId="0" applyFont="1" applyAlignment="1">
      <alignment horizontal="left" vertical="center"/>
    </xf>
    <xf numFmtId="0" fontId="15" fillId="0" borderId="11" xfId="0" applyFont="1" applyBorder="1" applyAlignment="1" applyProtection="1">
      <alignment horizontal="center" vertical="center"/>
      <protection locked="0"/>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0" fontId="3" fillId="3" borderId="1" xfId="0" applyFont="1" applyFill="1" applyBorder="1" applyAlignment="1">
      <alignment horizontal="right" vertical="center"/>
    </xf>
    <xf numFmtId="0" fontId="14" fillId="0" borderId="0" xfId="0" applyFont="1" applyAlignment="1">
      <alignment vertical="center"/>
    </xf>
    <xf numFmtId="0" fontId="17"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3" fillId="0" borderId="3" xfId="0" applyFont="1" applyBorder="1" applyAlignment="1">
      <alignment vertical="center"/>
    </xf>
    <xf numFmtId="0" fontId="11" fillId="0" borderId="0" xfId="1" applyBorder="1" applyAlignment="1" applyProtection="1">
      <alignment vertical="center"/>
    </xf>
    <xf numFmtId="166" fontId="3" fillId="0" borderId="0" xfId="0" applyNumberFormat="1" applyFont="1" applyAlignment="1">
      <alignment vertical="center"/>
    </xf>
    <xf numFmtId="0" fontId="8" fillId="3" borderId="0" xfId="0" applyFont="1" applyFill="1" applyAlignment="1">
      <alignment vertical="center"/>
    </xf>
    <xf numFmtId="0" fontId="2" fillId="6" borderId="0" xfId="0" applyFont="1" applyFill="1" applyAlignment="1">
      <alignment vertical="center" wrapText="1"/>
    </xf>
    <xf numFmtId="0" fontId="2" fillId="0" borderId="0" xfId="0" applyFont="1" applyAlignment="1">
      <alignment vertical="center"/>
    </xf>
    <xf numFmtId="0" fontId="3" fillId="3" borderId="11" xfId="0" applyFont="1" applyFill="1" applyBorder="1" applyAlignment="1">
      <alignment horizontal="center" vertical="center"/>
    </xf>
    <xf numFmtId="0" fontId="3" fillId="3" borderId="0" xfId="0" applyFont="1" applyFill="1" applyAlignment="1">
      <alignment horizontal="center" vertical="center"/>
    </xf>
    <xf numFmtId="0" fontId="3" fillId="6" borderId="0" xfId="0" applyFont="1" applyFill="1" applyAlignment="1">
      <alignment horizontal="right" vertical="center"/>
    </xf>
    <xf numFmtId="0" fontId="1" fillId="6" borderId="0" xfId="0" applyFont="1" applyFill="1" applyAlignment="1">
      <alignment vertical="center"/>
    </xf>
    <xf numFmtId="1" fontId="3" fillId="0" borderId="0" xfId="0" applyNumberFormat="1" applyFont="1" applyAlignment="1">
      <alignment vertical="center"/>
    </xf>
    <xf numFmtId="1" fontId="3" fillId="6" borderId="0" xfId="0" applyNumberFormat="1" applyFont="1" applyFill="1" applyAlignment="1">
      <alignment vertical="center"/>
    </xf>
    <xf numFmtId="3" fontId="3" fillId="0" borderId="3" xfId="0" applyNumberFormat="1"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8" fillId="0" borderId="0" xfId="0" applyFont="1" applyAlignment="1">
      <alignment vertical="center"/>
    </xf>
    <xf numFmtId="0" fontId="23" fillId="3" borderId="11" xfId="0" applyFont="1" applyFill="1" applyBorder="1" applyAlignment="1">
      <alignment horizontal="center" vertical="center"/>
    </xf>
    <xf numFmtId="166" fontId="0" fillId="0" borderId="0" xfId="0" applyNumberFormat="1" applyAlignment="1">
      <alignment horizontal="center" vertical="top"/>
    </xf>
    <xf numFmtId="0" fontId="0" fillId="0" borderId="0" xfId="0" applyAlignment="1">
      <alignment horizontal="left" vertical="top" wrapText="1"/>
    </xf>
    <xf numFmtId="0" fontId="0" fillId="6" borderId="0" xfId="0" applyFill="1" applyAlignment="1">
      <alignment vertical="center"/>
    </xf>
    <xf numFmtId="0" fontId="3" fillId="0" borderId="3" xfId="0" applyFont="1" applyBorder="1" applyAlignment="1">
      <alignment horizontal="center" vertical="center"/>
    </xf>
    <xf numFmtId="0" fontId="0" fillId="0" borderId="0" xfId="0" applyAlignment="1">
      <alignment horizontal="center" vertical="top" wrapText="1"/>
    </xf>
    <xf numFmtId="0" fontId="3" fillId="0" borderId="13" xfId="0" applyFont="1" applyBorder="1" applyAlignment="1">
      <alignment vertical="center"/>
    </xf>
    <xf numFmtId="2" fontId="3" fillId="0" borderId="3" xfId="0" applyNumberFormat="1" applyFont="1" applyBorder="1" applyAlignment="1">
      <alignment horizontal="right" vertical="center"/>
    </xf>
    <xf numFmtId="0" fontId="0" fillId="0" borderId="0" xfId="0" applyAlignment="1">
      <alignment horizontal="right" vertical="center"/>
    </xf>
    <xf numFmtId="0" fontId="3" fillId="0" borderId="1" xfId="0" applyFont="1" applyBorder="1" applyAlignment="1">
      <alignment vertical="center"/>
    </xf>
    <xf numFmtId="0" fontId="3" fillId="4" borderId="0" xfId="0" applyFont="1" applyFill="1" applyAlignment="1">
      <alignment horizontal="lef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2" xfId="0" applyFill="1" applyBorder="1"/>
    <xf numFmtId="169" fontId="0" fillId="0" borderId="0" xfId="0" quotePrefix="1" applyNumberFormat="1"/>
    <xf numFmtId="169" fontId="0" fillId="0" borderId="0" xfId="0" applyNumberFormat="1"/>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horizontal="left" vertical="top"/>
    </xf>
    <xf numFmtId="168" fontId="0" fillId="7" borderId="12" xfId="0" applyNumberFormat="1" applyFill="1" applyBorder="1"/>
    <xf numFmtId="0" fontId="3" fillId="0" borderId="0" xfId="0" applyFont="1"/>
    <xf numFmtId="166" fontId="3" fillId="0" borderId="0" xfId="0" applyNumberFormat="1" applyFont="1" applyAlignment="1">
      <alignment horizontal="center" vertical="top"/>
    </xf>
    <xf numFmtId="166" fontId="3" fillId="0" borderId="0" xfId="0" applyNumberFormat="1" applyFont="1" applyAlignment="1">
      <alignment horizontal="left" vertical="top"/>
    </xf>
    <xf numFmtId="0" fontId="3" fillId="0" borderId="0" xfId="0" applyFont="1" applyAlignment="1">
      <alignment horizontal="center" vertical="top" wrapText="1"/>
    </xf>
    <xf numFmtId="0" fontId="26" fillId="0" borderId="0" xfId="0" applyFont="1" applyAlignment="1">
      <alignment horizontal="center" vertical="center"/>
    </xf>
    <xf numFmtId="166" fontId="0" fillId="0" borderId="0" xfId="0" applyNumberFormat="1" applyAlignment="1">
      <alignment vertical="top"/>
    </xf>
    <xf numFmtId="166" fontId="3" fillId="0" borderId="0" xfId="0" applyNumberFormat="1" applyFont="1" applyAlignment="1">
      <alignment vertical="top"/>
    </xf>
    <xf numFmtId="0" fontId="3" fillId="6" borderId="11" xfId="0" applyFont="1" applyFill="1" applyBorder="1" applyAlignment="1">
      <alignment vertical="center"/>
    </xf>
    <xf numFmtId="0" fontId="3" fillId="6" borderId="11" xfId="0" applyFont="1" applyFill="1" applyBorder="1" applyAlignment="1">
      <alignment horizontal="center" vertical="center"/>
    </xf>
    <xf numFmtId="0" fontId="3" fillId="6" borderId="3" xfId="0" applyFont="1" applyFill="1" applyBorder="1" applyAlignment="1">
      <alignment horizontal="center" vertical="center"/>
    </xf>
    <xf numFmtId="0" fontId="9" fillId="6" borderId="0" xfId="0" applyFont="1" applyFill="1" applyAlignment="1">
      <alignment horizontal="center" vertical="center"/>
    </xf>
    <xf numFmtId="0" fontId="5" fillId="4" borderId="0" xfId="0" applyFont="1" applyFill="1" applyAlignment="1">
      <alignment horizontal="right" vertical="center"/>
    </xf>
    <xf numFmtId="3" fontId="3" fillId="6" borderId="11" xfId="0" applyNumberFormat="1" applyFont="1" applyFill="1" applyBorder="1" applyAlignment="1">
      <alignment horizontal="center" vertical="center"/>
    </xf>
    <xf numFmtId="1" fontId="3" fillId="6" borderId="11" xfId="0" applyNumberFormat="1" applyFont="1" applyFill="1" applyBorder="1" applyAlignment="1">
      <alignment horizontal="center" vertical="center"/>
    </xf>
    <xf numFmtId="2" fontId="3" fillId="6" borderId="11" xfId="0" applyNumberFormat="1" applyFont="1" applyFill="1" applyBorder="1" applyAlignment="1">
      <alignment horizontal="center" vertical="center"/>
    </xf>
    <xf numFmtId="0" fontId="9" fillId="6" borderId="0" xfId="0" applyFont="1" applyFill="1" applyAlignment="1">
      <alignment horizontal="right" vertical="center"/>
    </xf>
    <xf numFmtId="0" fontId="30" fillId="0" borderId="0" xfId="0" applyFont="1"/>
    <xf numFmtId="0" fontId="30" fillId="0" borderId="0" xfId="0" applyFont="1" applyAlignment="1">
      <alignment horizontal="center"/>
    </xf>
    <xf numFmtId="168" fontId="0" fillId="0" borderId="0" xfId="0" applyNumberFormat="1"/>
    <xf numFmtId="168" fontId="0" fillId="0" borderId="0" xfId="0" quotePrefix="1" applyNumberFormat="1"/>
    <xf numFmtId="0" fontId="3" fillId="0" borderId="3" xfId="0" applyFont="1" applyBorder="1" applyAlignment="1">
      <alignment horizontal="right" vertical="center"/>
    </xf>
    <xf numFmtId="0" fontId="15" fillId="0" borderId="11" xfId="0" applyFont="1" applyBorder="1" applyAlignment="1">
      <alignment horizontal="center" vertical="center"/>
    </xf>
    <xf numFmtId="0" fontId="3" fillId="6" borderId="2" xfId="0"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3" fillId="0" borderId="0" xfId="0" applyFont="1" applyAlignment="1">
      <alignment horizontal="center" vertical="center" textRotation="90" wrapText="1"/>
    </xf>
    <xf numFmtId="168" fontId="18" fillId="0" borderId="0" xfId="0" applyNumberFormat="1"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2" fillId="0" borderId="0" xfId="0" applyFont="1" applyAlignment="1">
      <alignment horizontal="right" vertical="center" wrapText="1"/>
    </xf>
    <xf numFmtId="1" fontId="3" fillId="0" borderId="1" xfId="0" applyNumberFormat="1" applyFont="1" applyBorder="1" applyAlignment="1" applyProtection="1">
      <alignment horizontal="right" vertical="center"/>
      <protection locked="0"/>
    </xf>
    <xf numFmtId="2" fontId="3" fillId="0" borderId="1" xfId="0" applyNumberFormat="1" applyFont="1" applyBorder="1" applyAlignment="1" applyProtection="1">
      <alignment horizontal="right" vertical="center"/>
      <protection locked="0"/>
    </xf>
    <xf numFmtId="164"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4" fontId="3" fillId="0" borderId="2" xfId="0" applyNumberFormat="1" applyFont="1" applyBorder="1" applyAlignment="1" applyProtection="1">
      <alignment horizontal="right" vertical="center"/>
      <protection locked="0"/>
    </xf>
    <xf numFmtId="2" fontId="3" fillId="0" borderId="2"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2" fontId="3" fillId="0" borderId="0" xfId="0" applyNumberFormat="1" applyFont="1" applyAlignment="1">
      <alignment horizontal="right" vertical="center"/>
    </xf>
    <xf numFmtId="3" fontId="3" fillId="0" borderId="2" xfId="0" applyNumberFormat="1" applyFont="1" applyBorder="1" applyAlignment="1" applyProtection="1">
      <alignment horizontal="right" vertical="center"/>
      <protection hidden="1"/>
    </xf>
    <xf numFmtId="3" fontId="3" fillId="0" borderId="2" xfId="0" applyNumberFormat="1" applyFont="1" applyBorder="1" applyAlignment="1" applyProtection="1">
      <alignment horizontal="right" vertical="center"/>
      <protection locked="0"/>
    </xf>
    <xf numFmtId="0" fontId="3" fillId="0" borderId="0" xfId="0" applyFont="1" applyAlignment="1">
      <alignment horizontal="center" vertical="center" wrapText="1"/>
    </xf>
    <xf numFmtId="3"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1" fontId="3" fillId="0" borderId="2" xfId="0" applyNumberFormat="1" applyFont="1" applyBorder="1" applyAlignment="1" applyProtection="1">
      <alignment horizontal="right" vertical="center"/>
      <protection locked="0"/>
    </xf>
    <xf numFmtId="4" fontId="3" fillId="0" borderId="4"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hidden="1"/>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165" fontId="3" fillId="0" borderId="1" xfId="0" applyNumberFormat="1" applyFont="1" applyBorder="1" applyAlignment="1" applyProtection="1">
      <alignment horizontal="right" vertical="center"/>
      <protection locked="0"/>
    </xf>
    <xf numFmtId="171" fontId="3" fillId="0" borderId="1" xfId="0" applyNumberFormat="1" applyFont="1" applyBorder="1" applyAlignment="1" applyProtection="1">
      <alignment horizontal="right" vertical="center"/>
      <protection locked="0"/>
    </xf>
    <xf numFmtId="0" fontId="21" fillId="0" borderId="1" xfId="1" applyFont="1" applyBorder="1" applyAlignment="1" applyProtection="1">
      <alignment horizontal="left" vertical="center"/>
      <protection locked="0"/>
    </xf>
    <xf numFmtId="170" fontId="3" fillId="0" borderId="2" xfId="0" applyNumberFormat="1" applyFont="1" applyBorder="1" applyAlignment="1" applyProtection="1">
      <alignment horizontal="left" vertical="center"/>
      <protection locked="0"/>
    </xf>
    <xf numFmtId="0" fontId="8" fillId="3" borderId="1" xfId="0" applyFont="1" applyFill="1" applyBorder="1" applyAlignment="1">
      <alignment vertical="center"/>
    </xf>
    <xf numFmtId="0" fontId="9" fillId="4" borderId="0" xfId="0" applyFont="1" applyFill="1" applyAlignment="1">
      <alignment horizontal="left" vertical="center"/>
    </xf>
    <xf numFmtId="2" fontId="3" fillId="0" borderId="2" xfId="0" applyNumberFormat="1" applyFont="1" applyBorder="1" applyAlignment="1">
      <alignment horizontal="right" vertical="center"/>
    </xf>
    <xf numFmtId="0" fontId="9" fillId="3" borderId="0" xfId="0" applyFont="1" applyFill="1" applyAlignment="1">
      <alignment horizontal="left" vertical="center"/>
    </xf>
    <xf numFmtId="0" fontId="3" fillId="0" borderId="1" xfId="0" applyFont="1" applyBorder="1" applyAlignment="1">
      <alignment horizontal="left" vertical="center"/>
    </xf>
    <xf numFmtId="0" fontId="3" fillId="0" borderId="2" xfId="0" applyFont="1" applyBorder="1" applyAlignment="1" applyProtection="1">
      <alignment horizontal="left" vertical="center"/>
      <protection hidden="1"/>
    </xf>
    <xf numFmtId="0" fontId="3" fillId="0" borderId="2" xfId="0" applyFont="1" applyBorder="1" applyAlignment="1">
      <alignment horizontal="right" vertical="center"/>
    </xf>
    <xf numFmtId="4" fontId="3" fillId="0" borderId="2" xfId="0" applyNumberFormat="1" applyFont="1" applyBorder="1" applyAlignment="1">
      <alignment horizontal="right" vertical="center"/>
    </xf>
    <xf numFmtId="0" fontId="18" fillId="0" borderId="0" xfId="0" applyFont="1" applyAlignment="1">
      <alignment horizontal="center" vertical="center" wrapText="1"/>
    </xf>
    <xf numFmtId="4" fontId="3" fillId="0" borderId="1" xfId="0" applyNumberFormat="1" applyFont="1" applyBorder="1" applyAlignment="1">
      <alignment horizontal="right" vertical="center"/>
    </xf>
    <xf numFmtId="2" fontId="3" fillId="0" borderId="2" xfId="0" applyNumberFormat="1" applyFont="1" applyBorder="1" applyAlignment="1" applyProtection="1">
      <alignment horizontal="right" vertical="center"/>
      <protection hidden="1"/>
    </xf>
    <xf numFmtId="164" fontId="3" fillId="0" borderId="2" xfId="0" applyNumberFormat="1" applyFont="1" applyBorder="1" applyAlignment="1" applyProtection="1">
      <alignment horizontal="center" vertical="center"/>
      <protection locked="0"/>
    </xf>
    <xf numFmtId="3" fontId="3" fillId="0" borderId="2" xfId="0" applyNumberFormat="1" applyFont="1" applyBorder="1" applyAlignment="1">
      <alignment horizontal="right" vertical="center"/>
    </xf>
    <xf numFmtId="2" fontId="3" fillId="0" borderId="1" xfId="0" applyNumberFormat="1" applyFont="1" applyBorder="1" applyAlignment="1">
      <alignment horizontal="right" vertical="center"/>
    </xf>
    <xf numFmtId="1"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left" vertical="top" wrapText="1"/>
    </xf>
    <xf numFmtId="1" fontId="3" fillId="0" borderId="2" xfId="0" applyNumberFormat="1" applyFont="1" applyBorder="1" applyAlignment="1" applyProtection="1">
      <alignment horizontal="center" vertical="center"/>
      <protection hidden="1"/>
    </xf>
    <xf numFmtId="170" fontId="3" fillId="0" borderId="2" xfId="0" applyNumberFormat="1" applyFont="1" applyBorder="1" applyAlignment="1" applyProtection="1">
      <alignment horizontal="center" vertical="center"/>
      <protection locked="0"/>
    </xf>
    <xf numFmtId="170" fontId="3" fillId="0" borderId="1" xfId="0" applyNumberFormat="1" applyFont="1" applyBorder="1" applyAlignment="1" applyProtection="1">
      <alignment horizontal="center" vertical="center"/>
      <protection locked="0"/>
    </xf>
    <xf numFmtId="0" fontId="11" fillId="0" borderId="2" xfId="1" applyBorder="1" applyAlignment="1" applyProtection="1">
      <alignment horizontal="left" vertical="center"/>
      <protection locked="0"/>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1" fontId="3" fillId="0" borderId="2"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hidden="1"/>
    </xf>
    <xf numFmtId="0" fontId="3" fillId="0" borderId="1" xfId="0" applyFont="1" applyBorder="1" applyAlignment="1" applyProtection="1">
      <alignment vertical="center"/>
      <protection locked="0"/>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xf numFmtId="164"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2" xfId="0" applyFont="1" applyBorder="1" applyAlignment="1">
      <alignment horizontal="left" vertical="center"/>
    </xf>
    <xf numFmtId="170" fontId="0" fillId="0" borderId="1" xfId="0" applyNumberForma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1" fillId="0" borderId="2" xfId="1" applyFont="1" applyBorder="1" applyAlignment="1" applyProtection="1">
      <alignment horizontal="left" vertical="center"/>
      <protection locked="0"/>
    </xf>
    <xf numFmtId="167" fontId="0" fillId="0" borderId="2" xfId="0" applyNumberFormat="1" applyBorder="1" applyAlignment="1" applyProtection="1">
      <alignment horizontal="right" vertical="center"/>
      <protection locked="0"/>
    </xf>
    <xf numFmtId="171" fontId="0" fillId="0" borderId="2" xfId="0" applyNumberFormat="1" applyBorder="1" applyAlignment="1" applyProtection="1">
      <alignment horizontal="right" vertical="center"/>
      <protection locked="0"/>
    </xf>
    <xf numFmtId="164" fontId="0" fillId="0" borderId="1" xfId="0" applyNumberForma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horizontal="right" vertical="center"/>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2">
    <cellStyle name="Hyperlink" xfId="1" builtinId="8"/>
    <cellStyle name="Normal" xfId="0" builtinId="0"/>
  </cellStyles>
  <dxfs count="24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117794</xdr:colOff>
      <xdr:row>35</xdr:row>
      <xdr:rowOff>18762</xdr:rowOff>
    </xdr:from>
    <xdr:to>
      <xdr:col>2</xdr:col>
      <xdr:colOff>968059</xdr:colOff>
      <xdr:row>35</xdr:row>
      <xdr:rowOff>746668</xdr:rowOff>
    </xdr:to>
    <xdr:pic>
      <xdr:nvPicPr>
        <xdr:cNvPr id="8" name="Picture 7">
          <a:extLst>
            <a:ext uri="{FF2B5EF4-FFF2-40B4-BE49-F238E27FC236}">
              <a16:creationId xmlns:a16="http://schemas.microsoft.com/office/drawing/2014/main" id="{9E5A6083-065B-4883-98A4-FF8269904F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166794" y="10214322"/>
          <a:ext cx="842645" cy="735526"/>
        </a:xfrm>
        <a:prstGeom prst="rect">
          <a:avLst/>
        </a:prstGeom>
        <a:noFill/>
        <a:ln>
          <a:noFill/>
        </a:ln>
      </xdr:spPr>
    </xdr:pic>
    <xdr:clientData/>
  </xdr:twoCellAnchor>
  <xdr:twoCellAnchor editAs="oneCell">
    <xdr:from>
      <xdr:col>2</xdr:col>
      <xdr:colOff>127285</xdr:colOff>
      <xdr:row>34</xdr:row>
      <xdr:rowOff>28271</xdr:rowOff>
    </xdr:from>
    <xdr:to>
      <xdr:col>2</xdr:col>
      <xdr:colOff>931194</xdr:colOff>
      <xdr:row>34</xdr:row>
      <xdr:rowOff>740741</xdr:rowOff>
    </xdr:to>
    <xdr:pic>
      <xdr:nvPicPr>
        <xdr:cNvPr id="9" name="Picture 8">
          <a:extLst>
            <a:ext uri="{FF2B5EF4-FFF2-40B4-BE49-F238E27FC236}">
              <a16:creationId xmlns:a16="http://schemas.microsoft.com/office/drawing/2014/main" id="{BDB2911C-42BD-42F0-BEA7-7CF4BFC71A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176285" y="9461831"/>
          <a:ext cx="803909" cy="718185"/>
        </a:xfrm>
        <a:prstGeom prst="rect">
          <a:avLst/>
        </a:prstGeom>
        <a:noFill/>
        <a:ln>
          <a:noFill/>
        </a:ln>
      </xdr:spPr>
    </xdr:pic>
    <xdr:clientData/>
  </xdr:twoCellAnchor>
  <xdr:twoCellAnchor editAs="oneCell">
    <xdr:from>
      <xdr:col>2</xdr:col>
      <xdr:colOff>191277</xdr:colOff>
      <xdr:row>31</xdr:row>
      <xdr:rowOff>20804</xdr:rowOff>
    </xdr:from>
    <xdr:to>
      <xdr:col>2</xdr:col>
      <xdr:colOff>915177</xdr:colOff>
      <xdr:row>31</xdr:row>
      <xdr:rowOff>745672</xdr:rowOff>
    </xdr:to>
    <xdr:pic>
      <xdr:nvPicPr>
        <xdr:cNvPr id="10" name="Picture 9">
          <a:extLst>
            <a:ext uri="{FF2B5EF4-FFF2-40B4-BE49-F238E27FC236}">
              <a16:creationId xmlns:a16="http://schemas.microsoft.com/office/drawing/2014/main" id="{EC2F9CB9-4AFF-477A-965D-E8EC155A04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40277" y="7168364"/>
          <a:ext cx="723900" cy="724868"/>
        </a:xfrm>
        <a:prstGeom prst="rect">
          <a:avLst/>
        </a:prstGeom>
        <a:ln>
          <a:noFill/>
        </a:ln>
      </xdr:spPr>
    </xdr:pic>
    <xdr:clientData/>
  </xdr:twoCellAnchor>
  <xdr:twoCellAnchor editAs="oneCell">
    <xdr:from>
      <xdr:col>2</xdr:col>
      <xdr:colOff>97757</xdr:colOff>
      <xdr:row>33</xdr:row>
      <xdr:rowOff>27284</xdr:rowOff>
    </xdr:from>
    <xdr:to>
      <xdr:col>2</xdr:col>
      <xdr:colOff>935655</xdr:colOff>
      <xdr:row>33</xdr:row>
      <xdr:rowOff>739754</xdr:rowOff>
    </xdr:to>
    <xdr:pic>
      <xdr:nvPicPr>
        <xdr:cNvPr id="11" name="Picture 10">
          <a:extLst>
            <a:ext uri="{FF2B5EF4-FFF2-40B4-BE49-F238E27FC236}">
              <a16:creationId xmlns:a16="http://schemas.microsoft.com/office/drawing/2014/main" id="{8DCF04AF-399C-494B-BFD2-1ABBA47859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146757" y="8698844"/>
          <a:ext cx="837898" cy="706755"/>
        </a:xfrm>
        <a:prstGeom prst="rect">
          <a:avLst/>
        </a:prstGeom>
        <a:noFill/>
        <a:ln>
          <a:noFill/>
        </a:ln>
      </xdr:spPr>
    </xdr:pic>
    <xdr:clientData/>
  </xdr:twoCellAnchor>
  <xdr:twoCellAnchor editAs="oneCell">
    <xdr:from>
      <xdr:col>2</xdr:col>
      <xdr:colOff>188084</xdr:colOff>
      <xdr:row>32</xdr:row>
      <xdr:rowOff>15934</xdr:rowOff>
    </xdr:from>
    <xdr:to>
      <xdr:col>2</xdr:col>
      <xdr:colOff>899153</xdr:colOff>
      <xdr:row>32</xdr:row>
      <xdr:rowOff>741739</xdr:rowOff>
    </xdr:to>
    <xdr:pic>
      <xdr:nvPicPr>
        <xdr:cNvPr id="12" name="Picture 11" descr="Logo&#10;&#10;Description automatically generated">
          <a:extLst>
            <a:ext uri="{FF2B5EF4-FFF2-40B4-BE49-F238E27FC236}">
              <a16:creationId xmlns:a16="http://schemas.microsoft.com/office/drawing/2014/main" id="{3288FCE9-D892-4E18-A570-403B94F534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37084" y="7925494"/>
          <a:ext cx="707259" cy="7353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360045</xdr:colOff>
          <xdr:row>32</xdr:row>
          <xdr:rowOff>0</xdr:rowOff>
        </xdr:to>
        <xdr:pic>
          <xdr:nvPicPr>
            <xdr:cNvPr id="3" name="Picture 2">
              <a:extLst>
                <a:ext uri="{FF2B5EF4-FFF2-40B4-BE49-F238E27FC236}">
                  <a16:creationId xmlns:a16="http://schemas.microsoft.com/office/drawing/2014/main" id="{E8A77AB6-53EB-4B82-B86B-B2C010F0A777}"/>
                </a:ext>
              </a:extLst>
            </xdr:cNvPr>
            <xdr:cNvPicPr>
              <a:picLocks noChangeAspect="1"/>
              <a:extLst>
                <a:ext uri="{84589F7E-364E-4C9E-8A38-B11213B215E9}">
                  <a14:cameraTool cellRange="Logo" spid="_x0000_s1187"/>
                </a:ext>
              </a:extLst>
            </xdr:cNvPicPr>
          </xdr:nvPicPr>
          <xdr:blipFill>
            <a:blip xmlns:r="http://schemas.openxmlformats.org/officeDocument/2006/relationships" r:embed="rId6"/>
            <a:stretch>
              <a:fillRect/>
            </a:stretch>
          </xdr:blipFill>
          <xdr:spPr>
            <a:xfrm>
              <a:off x="3886200" y="5657850"/>
              <a:ext cx="1714500" cy="762000"/>
            </a:xfrm>
            <a:prstGeom prst="rect">
              <a:avLst/>
            </a:prstGeom>
            <a:ln>
              <a:noFill/>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21590</xdr:colOff>
      <xdr:row>56</xdr:row>
      <xdr:rowOff>82550</xdr:rowOff>
    </xdr:from>
    <xdr:ext cx="712568" cy="259080"/>
    <xdr:pic>
      <xdr:nvPicPr>
        <xdr:cNvPr id="4" name="Picture 3">
          <a:extLst>
            <a:ext uri="{FF2B5EF4-FFF2-40B4-BE49-F238E27FC236}">
              <a16:creationId xmlns:a16="http://schemas.microsoft.com/office/drawing/2014/main" id="{C355CB50-6C6C-4EEB-9328-B367DEF2F5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4090" y="8502650"/>
          <a:ext cx="712568" cy="259080"/>
        </a:xfrm>
        <a:prstGeom prst="rect">
          <a:avLst/>
        </a:prstGeom>
      </xdr:spPr>
    </xdr:pic>
    <xdr:clientData/>
  </xdr:oneCellAnchor>
  <xdr:oneCellAnchor>
    <xdr:from>
      <xdr:col>32</xdr:col>
      <xdr:colOff>55880</xdr:colOff>
      <xdr:row>112</xdr:row>
      <xdr:rowOff>91440</xdr:rowOff>
    </xdr:from>
    <xdr:ext cx="712568" cy="259080"/>
    <xdr:pic>
      <xdr:nvPicPr>
        <xdr:cNvPr id="5" name="Picture 4">
          <a:extLst>
            <a:ext uri="{FF2B5EF4-FFF2-40B4-BE49-F238E27FC236}">
              <a16:creationId xmlns:a16="http://schemas.microsoft.com/office/drawing/2014/main" id="{7849E525-F68B-4A32-BD7E-931CC7888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000" y="9180129"/>
          <a:ext cx="712568" cy="259080"/>
        </a:xfrm>
        <a:prstGeom prst="rect">
          <a:avLst/>
        </a:prstGeom>
      </xdr:spPr>
    </xdr:pic>
    <xdr:clientData/>
  </xdr:oneCellAnchor>
  <xdr:oneCellAnchor>
    <xdr:from>
      <xdr:col>32</xdr:col>
      <xdr:colOff>55880</xdr:colOff>
      <xdr:row>155</xdr:row>
      <xdr:rowOff>91440</xdr:rowOff>
    </xdr:from>
    <xdr:ext cx="712568" cy="259080"/>
    <xdr:pic>
      <xdr:nvPicPr>
        <xdr:cNvPr id="6" name="Picture 5">
          <a:extLst>
            <a:ext uri="{FF2B5EF4-FFF2-40B4-BE49-F238E27FC236}">
              <a16:creationId xmlns:a16="http://schemas.microsoft.com/office/drawing/2014/main" id="{9FD6802B-404A-4995-8106-881EB59254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000" y="9180129"/>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55880</xdr:colOff>
          <xdr:row>4</xdr:row>
          <xdr:rowOff>0</xdr:rowOff>
        </xdr:to>
        <xdr:pic>
          <xdr:nvPicPr>
            <xdr:cNvPr id="7" name="Picture 6">
              <a:extLst>
                <a:ext uri="{FF2B5EF4-FFF2-40B4-BE49-F238E27FC236}">
                  <a16:creationId xmlns:a16="http://schemas.microsoft.com/office/drawing/2014/main" id="{00AAE24E-932B-B08A-98B0-E220BF1080BA}"/>
                </a:ext>
              </a:extLst>
            </xdr:cNvPr>
            <xdr:cNvPicPr>
              <a:picLocks noChangeAspect="1" noChangeArrowheads="1"/>
              <a:extLst>
                <a:ext uri="{84589F7E-364E-4C9E-8A38-B11213B215E9}">
                  <a14:cameraTool cellRange="Logo" spid="_x0000_s2340"/>
                </a:ext>
              </a:extLst>
            </xdr:cNvPicPr>
          </xdr:nvPicPr>
          <xdr:blipFill>
            <a:blip xmlns:r="http://schemas.openxmlformats.org/officeDocument/2006/relationships" r:embed="rId2"/>
            <a:srcRect/>
            <a:stretch>
              <a:fillRect/>
            </a:stretch>
          </xdr:blipFill>
          <xdr:spPr bwMode="auto">
            <a:xfrm>
              <a:off x="0" y="0"/>
              <a:ext cx="171450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0</xdr:row>
          <xdr:rowOff>0</xdr:rowOff>
        </xdr:from>
        <xdr:to>
          <xdr:col>50</xdr:col>
          <xdr:colOff>130175</xdr:colOff>
          <xdr:row>4</xdr:row>
          <xdr:rowOff>0</xdr:rowOff>
        </xdr:to>
        <xdr:pic>
          <xdr:nvPicPr>
            <xdr:cNvPr id="8" name="Picture 7">
              <a:extLst>
                <a:ext uri="{FF2B5EF4-FFF2-40B4-BE49-F238E27FC236}">
                  <a16:creationId xmlns:a16="http://schemas.microsoft.com/office/drawing/2014/main" id="{DD3CF302-0D13-C83A-1EF9-FC0D6BB410FE}"/>
                </a:ext>
              </a:extLst>
            </xdr:cNvPr>
            <xdr:cNvPicPr>
              <a:picLocks noChangeAspect="1" noChangeArrowheads="1"/>
              <a:extLst>
                <a:ext uri="{84589F7E-364E-4C9E-8A38-B11213B215E9}">
                  <a14:cameraTool cellRange="Logo" spid="_x0000_s2341"/>
                </a:ext>
              </a:extLst>
            </xdr:cNvPicPr>
          </xdr:nvPicPr>
          <xdr:blipFill>
            <a:blip xmlns:r="http://schemas.openxmlformats.org/officeDocument/2006/relationships" r:embed="rId2"/>
            <a:srcRect/>
            <a:stretch>
              <a:fillRect/>
            </a:stretch>
          </xdr:blipFill>
          <xdr:spPr bwMode="auto">
            <a:xfrm>
              <a:off x="9518650" y="0"/>
              <a:ext cx="171450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32</xdr:col>
      <xdr:colOff>55880</xdr:colOff>
      <xdr:row>198</xdr:row>
      <xdr:rowOff>91440</xdr:rowOff>
    </xdr:from>
    <xdr:ext cx="712568" cy="259080"/>
    <xdr:pic>
      <xdr:nvPicPr>
        <xdr:cNvPr id="2" name="Picture 1">
          <a:extLst>
            <a:ext uri="{FF2B5EF4-FFF2-40B4-BE49-F238E27FC236}">
              <a16:creationId xmlns:a16="http://schemas.microsoft.com/office/drawing/2014/main" id="{A555A92B-916B-4912-8339-99D05B0519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2190" y="25241250"/>
          <a:ext cx="712568" cy="25908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33</xdr:col>
      <xdr:colOff>142240</xdr:colOff>
      <xdr:row>58</xdr:row>
      <xdr:rowOff>91440</xdr:rowOff>
    </xdr:from>
    <xdr:ext cx="712568" cy="259080"/>
    <xdr:pic>
      <xdr:nvPicPr>
        <xdr:cNvPr id="6" name="Picture 5">
          <a:extLst>
            <a:ext uri="{FF2B5EF4-FFF2-40B4-BE49-F238E27FC236}">
              <a16:creationId xmlns:a16="http://schemas.microsoft.com/office/drawing/2014/main" id="{598F9883-1F5E-4FA7-8EF0-01A21665A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128760"/>
          <a:ext cx="712568" cy="259080"/>
        </a:xfrm>
        <a:prstGeom prst="rect">
          <a:avLst/>
        </a:prstGeom>
      </xdr:spPr>
    </xdr:pic>
    <xdr:clientData/>
  </xdr:oneCellAnchor>
  <xdr:oneCellAnchor>
    <xdr:from>
      <xdr:col>33</xdr:col>
      <xdr:colOff>142240</xdr:colOff>
      <xdr:row>106</xdr:row>
      <xdr:rowOff>91440</xdr:rowOff>
    </xdr:from>
    <xdr:ext cx="712568" cy="259080"/>
    <xdr:pic>
      <xdr:nvPicPr>
        <xdr:cNvPr id="7" name="Picture 6">
          <a:extLst>
            <a:ext uri="{FF2B5EF4-FFF2-40B4-BE49-F238E27FC236}">
              <a16:creationId xmlns:a16="http://schemas.microsoft.com/office/drawing/2014/main" id="{A3AAA8B5-EC39-46D5-B0BC-388F53B98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285" y="9182100"/>
          <a:ext cx="712568" cy="259080"/>
        </a:xfrm>
        <a:prstGeom prst="rect">
          <a:avLst/>
        </a:prstGeom>
      </xdr:spPr>
    </xdr:pic>
    <xdr:clientData/>
  </xdr:oneCellAnchor>
  <xdr:oneCellAnchor>
    <xdr:from>
      <xdr:col>33</xdr:col>
      <xdr:colOff>142240</xdr:colOff>
      <xdr:row>151</xdr:row>
      <xdr:rowOff>91440</xdr:rowOff>
    </xdr:from>
    <xdr:ext cx="712568" cy="259080"/>
    <xdr:pic>
      <xdr:nvPicPr>
        <xdr:cNvPr id="8" name="Picture 7">
          <a:extLst>
            <a:ext uri="{FF2B5EF4-FFF2-40B4-BE49-F238E27FC236}">
              <a16:creationId xmlns:a16="http://schemas.microsoft.com/office/drawing/2014/main" id="{A1727601-56E6-49A5-8184-99FDCDBCAC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285" y="918210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57150</xdr:colOff>
          <xdr:row>4</xdr:row>
          <xdr:rowOff>0</xdr:rowOff>
        </xdr:to>
        <xdr:pic>
          <xdr:nvPicPr>
            <xdr:cNvPr id="13" name="Picture 12">
              <a:extLst>
                <a:ext uri="{FF2B5EF4-FFF2-40B4-BE49-F238E27FC236}">
                  <a16:creationId xmlns:a16="http://schemas.microsoft.com/office/drawing/2014/main" id="{3879FBE3-A02F-9F73-C96D-5EC5FD7A33BC}"/>
                </a:ext>
              </a:extLst>
            </xdr:cNvPr>
            <xdr:cNvPicPr>
              <a:picLocks noChangeAspect="1" noChangeArrowheads="1"/>
              <a:extLst>
                <a:ext uri="{84589F7E-364E-4C9E-8A38-B11213B215E9}">
                  <a14:cameraTool cellRange="Logo" spid="_x0000_s3359"/>
                </a:ext>
              </a:extLst>
            </xdr:cNvPicPr>
          </xdr:nvPicPr>
          <xdr:blipFill>
            <a:blip xmlns:r="http://schemas.openxmlformats.org/officeDocument/2006/relationships" r:embed="rId2"/>
            <a:srcRect/>
            <a:stretch>
              <a:fillRect/>
            </a:stretch>
          </xdr:blipFill>
          <xdr:spPr bwMode="auto">
            <a:xfrm>
              <a:off x="0" y="0"/>
              <a:ext cx="171450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0</xdr:row>
          <xdr:rowOff>0</xdr:rowOff>
        </xdr:from>
        <xdr:to>
          <xdr:col>53</xdr:col>
          <xdr:colOff>0</xdr:colOff>
          <xdr:row>4</xdr:row>
          <xdr:rowOff>0</xdr:rowOff>
        </xdr:to>
        <xdr:pic>
          <xdr:nvPicPr>
            <xdr:cNvPr id="14" name="Picture 13">
              <a:extLst>
                <a:ext uri="{FF2B5EF4-FFF2-40B4-BE49-F238E27FC236}">
                  <a16:creationId xmlns:a16="http://schemas.microsoft.com/office/drawing/2014/main" id="{6F831F27-8A73-7520-A92C-1AB718A94A73}"/>
                </a:ext>
              </a:extLst>
            </xdr:cNvPr>
            <xdr:cNvPicPr>
              <a:picLocks noChangeAspect="1" noChangeArrowheads="1"/>
              <a:extLst>
                <a:ext uri="{84589F7E-364E-4C9E-8A38-B11213B215E9}">
                  <a14:cameraTool cellRange="Logo" spid="_x0000_s3360"/>
                </a:ext>
              </a:extLst>
            </xdr:cNvPicPr>
          </xdr:nvPicPr>
          <xdr:blipFill>
            <a:blip xmlns:r="http://schemas.openxmlformats.org/officeDocument/2006/relationships" r:embed="rId2"/>
            <a:srcRect/>
            <a:stretch>
              <a:fillRect/>
            </a:stretch>
          </xdr:blipFill>
          <xdr:spPr bwMode="auto">
            <a:xfrm>
              <a:off x="7188200" y="0"/>
              <a:ext cx="171450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33</xdr:col>
      <xdr:colOff>6985</xdr:colOff>
      <xdr:row>194</xdr:row>
      <xdr:rowOff>95250</xdr:rowOff>
    </xdr:from>
    <xdr:ext cx="712568" cy="259080"/>
    <xdr:pic>
      <xdr:nvPicPr>
        <xdr:cNvPr id="2" name="Picture 1">
          <a:extLst>
            <a:ext uri="{FF2B5EF4-FFF2-40B4-BE49-F238E27FC236}">
              <a16:creationId xmlns:a16="http://schemas.microsoft.com/office/drawing/2014/main" id="{8EC787EA-F0D4-400A-8DA8-0F677B5A09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3935" y="33477200"/>
          <a:ext cx="712568" cy="25908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32</xdr:col>
      <xdr:colOff>45720</xdr:colOff>
      <xdr:row>64</xdr:row>
      <xdr:rowOff>66040</xdr:rowOff>
    </xdr:from>
    <xdr:ext cx="712568" cy="259080"/>
    <xdr:pic>
      <xdr:nvPicPr>
        <xdr:cNvPr id="6" name="Picture 5">
          <a:extLst>
            <a:ext uri="{FF2B5EF4-FFF2-40B4-BE49-F238E27FC236}">
              <a16:creationId xmlns:a16="http://schemas.microsoft.com/office/drawing/2014/main" id="{EE3E34A7-25F2-45E5-9FE6-C866758FD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9112885"/>
          <a:ext cx="712568" cy="259080"/>
        </a:xfrm>
        <a:prstGeom prst="rect">
          <a:avLst/>
        </a:prstGeom>
      </xdr:spPr>
    </xdr:pic>
    <xdr:clientData/>
  </xdr:oneCellAnchor>
  <xdr:oneCellAnchor>
    <xdr:from>
      <xdr:col>32</xdr:col>
      <xdr:colOff>45720</xdr:colOff>
      <xdr:row>118</xdr:row>
      <xdr:rowOff>66040</xdr:rowOff>
    </xdr:from>
    <xdr:ext cx="712568" cy="259080"/>
    <xdr:pic>
      <xdr:nvPicPr>
        <xdr:cNvPr id="7" name="Picture 6">
          <a:extLst>
            <a:ext uri="{FF2B5EF4-FFF2-40B4-BE49-F238E27FC236}">
              <a16:creationId xmlns:a16="http://schemas.microsoft.com/office/drawing/2014/main" id="{219F30CE-9F5D-48F9-9356-2D002314E8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9301480"/>
          <a:ext cx="712568" cy="259080"/>
        </a:xfrm>
        <a:prstGeom prst="rect">
          <a:avLst/>
        </a:prstGeom>
      </xdr:spPr>
    </xdr:pic>
    <xdr:clientData/>
  </xdr:oneCellAnchor>
  <xdr:oneCellAnchor>
    <xdr:from>
      <xdr:col>32</xdr:col>
      <xdr:colOff>45720</xdr:colOff>
      <xdr:row>164</xdr:row>
      <xdr:rowOff>66040</xdr:rowOff>
    </xdr:from>
    <xdr:ext cx="712568" cy="259080"/>
    <xdr:pic>
      <xdr:nvPicPr>
        <xdr:cNvPr id="8" name="Picture 7">
          <a:extLst>
            <a:ext uri="{FF2B5EF4-FFF2-40B4-BE49-F238E27FC236}">
              <a16:creationId xmlns:a16="http://schemas.microsoft.com/office/drawing/2014/main" id="{2911D6CD-C0F3-4DD0-8B69-4F1687B4F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930148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55880</xdr:colOff>
          <xdr:row>4</xdr:row>
          <xdr:rowOff>0</xdr:rowOff>
        </xdr:to>
        <xdr:pic>
          <xdr:nvPicPr>
            <xdr:cNvPr id="10" name="Picture 9">
              <a:extLst>
                <a:ext uri="{FF2B5EF4-FFF2-40B4-BE49-F238E27FC236}">
                  <a16:creationId xmlns:a16="http://schemas.microsoft.com/office/drawing/2014/main" id="{12CF624F-D975-2423-732F-F0F62BB3043A}"/>
                </a:ext>
              </a:extLst>
            </xdr:cNvPr>
            <xdr:cNvPicPr>
              <a:picLocks noChangeAspect="1" noChangeArrowheads="1"/>
              <a:extLst>
                <a:ext uri="{84589F7E-364E-4C9E-8A38-B11213B215E9}">
                  <a14:cameraTool cellRange="Logo" spid="_x0000_s4381"/>
                </a:ext>
              </a:extLst>
            </xdr:cNvPicPr>
          </xdr:nvPicPr>
          <xdr:blipFill>
            <a:blip xmlns:r="http://schemas.openxmlformats.org/officeDocument/2006/relationships" r:embed="rId2"/>
            <a:srcRect/>
            <a:stretch>
              <a:fillRect/>
            </a:stretch>
          </xdr:blipFill>
          <xdr:spPr bwMode="auto">
            <a:xfrm>
              <a:off x="0" y="0"/>
              <a:ext cx="170688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0</xdr:row>
          <xdr:rowOff>0</xdr:rowOff>
        </xdr:from>
        <xdr:to>
          <xdr:col>49</xdr:col>
          <xdr:colOff>0</xdr:colOff>
          <xdr:row>4</xdr:row>
          <xdr:rowOff>0</xdr:rowOff>
        </xdr:to>
        <xdr:pic>
          <xdr:nvPicPr>
            <xdr:cNvPr id="12" name="Picture 11">
              <a:extLst>
                <a:ext uri="{FF2B5EF4-FFF2-40B4-BE49-F238E27FC236}">
                  <a16:creationId xmlns:a16="http://schemas.microsoft.com/office/drawing/2014/main" id="{CCBACF81-F9BA-6EE9-7E0C-01A21931DC5B}"/>
                </a:ext>
              </a:extLst>
            </xdr:cNvPr>
            <xdr:cNvPicPr>
              <a:picLocks noChangeAspect="1" noChangeArrowheads="1"/>
              <a:extLst>
                <a:ext uri="{84589F7E-364E-4C9E-8A38-B11213B215E9}">
                  <a14:cameraTool cellRange="Logo" spid="_x0000_s4382"/>
                </a:ext>
              </a:extLst>
            </xdr:cNvPicPr>
          </xdr:nvPicPr>
          <xdr:blipFill>
            <a:blip xmlns:r="http://schemas.openxmlformats.org/officeDocument/2006/relationships" r:embed="rId2"/>
            <a:srcRect/>
            <a:stretch>
              <a:fillRect/>
            </a:stretch>
          </xdr:blipFill>
          <xdr:spPr bwMode="auto">
            <a:xfrm>
              <a:off x="7245350" y="0"/>
              <a:ext cx="171450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T_Material" displayName="T_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_Shape" displayName="T_Shape" ref="C1:C9" totalsRowShown="0">
  <autoFilter ref="C1:C9"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_Type" displayName="T_Type" ref="E1:E4" totalsRowShown="0">
  <autoFilter ref="E1:E4"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able6" displayName="Table6" ref="G1:G16" totalsRowShown="0">
  <autoFilter ref="G1:G16"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7390AE-D9C8-4406-9869-5F1F7530132F}" name="Table10" displayName="Table10" ref="G19:H26" totalsRowShown="0" headerRowDxfId="247" dataDxfId="246">
  <autoFilter ref="G19:H26" xr:uid="{A37390AE-D9C8-4406-9869-5F1F7530132F}"/>
  <tableColumns count="2">
    <tableColumn id="1" xr3:uid="{57AB3E2A-A666-41EA-9F96-9AD42F24BBCD}" name="Registration" dataDxfId="245"/>
    <tableColumn id="2" xr3:uid="{3DA339F3-751A-4D7F-8476-809A8A22B125}" name="Acronym" dataDxfId="244"/>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6"/>
  <sheetViews>
    <sheetView showGridLines="0" zoomScaleNormal="100" workbookViewId="0">
      <selection activeCell="C14" sqref="C14"/>
    </sheetView>
  </sheetViews>
  <sheetFormatPr defaultRowHeight="14.4" x14ac:dyDescent="0.3"/>
  <cols>
    <col min="1" max="1" width="23.33203125" bestFit="1" customWidth="1"/>
    <col min="2" max="2" width="3.77734375" customWidth="1"/>
    <col min="3" max="3" width="25" bestFit="1" customWidth="1"/>
    <col min="4" max="4" width="4.5546875" bestFit="1" customWidth="1"/>
    <col min="5" max="5" width="15.77734375" customWidth="1"/>
    <col min="6" max="6" width="3.77734375" customWidth="1"/>
    <col min="7" max="7" width="72.6640625" bestFit="1" customWidth="1"/>
    <col min="8" max="14" width="15.77734375" customWidth="1"/>
  </cols>
  <sheetData>
    <row r="1" spans="1:14" x14ac:dyDescent="0.3">
      <c r="A1" t="s">
        <v>24</v>
      </c>
      <c r="C1" t="s">
        <v>34</v>
      </c>
      <c r="E1" t="s">
        <v>67</v>
      </c>
      <c r="G1" t="s">
        <v>85</v>
      </c>
      <c r="I1" s="132" t="s">
        <v>454</v>
      </c>
      <c r="J1" s="133" t="s">
        <v>166</v>
      </c>
      <c r="K1" s="133" t="s">
        <v>360</v>
      </c>
      <c r="L1" s="133" t="s">
        <v>168</v>
      </c>
      <c r="M1" s="133" t="s">
        <v>165</v>
      </c>
      <c r="N1" s="133" t="s">
        <v>167</v>
      </c>
    </row>
    <row r="2" spans="1:14" x14ac:dyDescent="0.3">
      <c r="A2" t="s">
        <v>25</v>
      </c>
      <c r="C2" t="s">
        <v>477</v>
      </c>
      <c r="E2" t="s">
        <v>213</v>
      </c>
      <c r="G2" t="s">
        <v>87</v>
      </c>
      <c r="I2" s="102" t="s">
        <v>5</v>
      </c>
      <c r="J2" s="106">
        <v>1.1000000000000001</v>
      </c>
      <c r="K2" s="106">
        <v>1.1000000000000001</v>
      </c>
      <c r="L2" s="106">
        <v>1.1399999999999999</v>
      </c>
      <c r="M2" s="106">
        <v>1.1000000000000001</v>
      </c>
      <c r="N2" s="107">
        <v>1.1000000000000001</v>
      </c>
    </row>
    <row r="3" spans="1:14" x14ac:dyDescent="0.3">
      <c r="A3" t="s">
        <v>75</v>
      </c>
      <c r="C3" t="s">
        <v>478</v>
      </c>
      <c r="E3" t="s">
        <v>214</v>
      </c>
      <c r="G3" t="s">
        <v>80</v>
      </c>
      <c r="I3" s="102" t="s">
        <v>6</v>
      </c>
      <c r="J3" s="106">
        <v>4.1100000000000003</v>
      </c>
      <c r="K3" s="106">
        <v>4.1399999999999997</v>
      </c>
      <c r="L3" s="106">
        <v>5.7</v>
      </c>
      <c r="M3" s="106">
        <v>4.24</v>
      </c>
      <c r="N3" s="107">
        <v>4.21</v>
      </c>
    </row>
    <row r="4" spans="1:14" x14ac:dyDescent="0.3">
      <c r="A4" t="s">
        <v>76</v>
      </c>
      <c r="C4" t="s">
        <v>178</v>
      </c>
      <c r="E4" t="s">
        <v>460</v>
      </c>
      <c r="G4" t="s">
        <v>86</v>
      </c>
      <c r="I4" s="102" t="s">
        <v>7</v>
      </c>
      <c r="J4" s="106">
        <v>5.01</v>
      </c>
      <c r="K4" s="106">
        <v>5.0599999999999996</v>
      </c>
      <c r="L4" s="106">
        <v>7.21</v>
      </c>
      <c r="M4" s="106">
        <v>5.3</v>
      </c>
      <c r="N4" s="107">
        <v>5.24</v>
      </c>
    </row>
    <row r="5" spans="1:14" x14ac:dyDescent="0.3">
      <c r="A5" t="s">
        <v>29</v>
      </c>
      <c r="C5" t="s">
        <v>179</v>
      </c>
      <c r="G5" t="s">
        <v>77</v>
      </c>
      <c r="I5" s="102" t="s">
        <v>8</v>
      </c>
      <c r="J5" s="106">
        <v>5.87</v>
      </c>
      <c r="K5" s="106">
        <v>5.91</v>
      </c>
      <c r="L5" s="106">
        <v>8.6300000000000008</v>
      </c>
      <c r="M5" s="106">
        <v>6.24</v>
      </c>
      <c r="N5" s="107">
        <v>6.17</v>
      </c>
    </row>
    <row r="6" spans="1:14" x14ac:dyDescent="0.3">
      <c r="A6" t="s">
        <v>27</v>
      </c>
      <c r="C6" t="s">
        <v>181</v>
      </c>
      <c r="G6" t="str">
        <f>"Velocity &gt; "&amp;C26&amp;" ft/s"</f>
        <v>Velocity &gt; 6 ft/s</v>
      </c>
      <c r="I6" s="102" t="s">
        <v>9</v>
      </c>
      <c r="J6" s="106">
        <v>7.21</v>
      </c>
      <c r="K6" s="106">
        <v>7.26</v>
      </c>
      <c r="L6" s="106">
        <v>10.8</v>
      </c>
      <c r="M6" s="106">
        <v>7.64</v>
      </c>
      <c r="N6" s="107">
        <v>7.55</v>
      </c>
    </row>
    <row r="7" spans="1:14" x14ac:dyDescent="0.3">
      <c r="A7" t="s">
        <v>26</v>
      </c>
      <c r="C7" t="s">
        <v>180</v>
      </c>
      <c r="G7" t="s">
        <v>119</v>
      </c>
      <c r="I7" s="102" t="s">
        <v>480</v>
      </c>
      <c r="J7" s="106">
        <v>8.3699999999999992</v>
      </c>
      <c r="K7" s="106">
        <v>8.48</v>
      </c>
      <c r="L7" s="106">
        <v>12.7</v>
      </c>
      <c r="M7" s="106">
        <v>8.8000000000000007</v>
      </c>
      <c r="N7" s="107">
        <v>8.6999999999999993</v>
      </c>
    </row>
    <row r="8" spans="1:14" x14ac:dyDescent="0.3">
      <c r="A8" t="s">
        <v>31</v>
      </c>
      <c r="C8" t="s">
        <v>479</v>
      </c>
      <c r="G8" t="s">
        <v>118</v>
      </c>
      <c r="I8" s="102" t="s">
        <v>10</v>
      </c>
      <c r="J8" s="106">
        <v>9.65</v>
      </c>
      <c r="K8" s="106">
        <v>9.83</v>
      </c>
      <c r="L8" s="106">
        <v>14.8</v>
      </c>
      <c r="M8" s="106">
        <v>10</v>
      </c>
      <c r="N8" s="107">
        <v>9.93</v>
      </c>
    </row>
    <row r="9" spans="1:14" ht="15.6" x14ac:dyDescent="0.35">
      <c r="A9" t="s">
        <v>28</v>
      </c>
      <c r="C9" t="s">
        <v>31</v>
      </c>
      <c r="G9" t="s">
        <v>159</v>
      </c>
      <c r="I9" s="102" t="s">
        <v>363</v>
      </c>
      <c r="J9" s="110" t="s">
        <v>364</v>
      </c>
      <c r="K9" s="110" t="s">
        <v>365</v>
      </c>
      <c r="L9" s="110" t="s">
        <v>366</v>
      </c>
      <c r="M9" s="110" t="s">
        <v>366</v>
      </c>
      <c r="N9" s="110" t="s">
        <v>367</v>
      </c>
    </row>
    <row r="10" spans="1:14" x14ac:dyDescent="0.3">
      <c r="A10" t="s">
        <v>74</v>
      </c>
      <c r="G10" t="s">
        <v>163</v>
      </c>
      <c r="I10" s="102" t="s">
        <v>368</v>
      </c>
      <c r="J10" t="s">
        <v>369</v>
      </c>
      <c r="K10" t="s">
        <v>370</v>
      </c>
      <c r="L10" t="s">
        <v>369</v>
      </c>
      <c r="M10" t="s">
        <v>369</v>
      </c>
      <c r="N10" t="s">
        <v>369</v>
      </c>
    </row>
    <row r="11" spans="1:14" x14ac:dyDescent="0.3">
      <c r="G11" t="s">
        <v>358</v>
      </c>
      <c r="I11" s="102" t="s">
        <v>371</v>
      </c>
      <c r="J11" t="s">
        <v>372</v>
      </c>
      <c r="K11" t="s">
        <v>127</v>
      </c>
      <c r="L11" t="s">
        <v>127</v>
      </c>
      <c r="M11" t="s">
        <v>127</v>
      </c>
      <c r="N11" t="s">
        <v>127</v>
      </c>
    </row>
    <row r="12" spans="1:14" x14ac:dyDescent="0.3">
      <c r="G12" t="s">
        <v>352</v>
      </c>
      <c r="I12" s="102" t="s">
        <v>449</v>
      </c>
      <c r="L12" t="s">
        <v>450</v>
      </c>
      <c r="M12" t="s">
        <v>476</v>
      </c>
    </row>
    <row r="13" spans="1:14" x14ac:dyDescent="0.3">
      <c r="A13" s="102" t="s">
        <v>342</v>
      </c>
      <c r="C13" s="115">
        <v>45383</v>
      </c>
      <c r="G13" t="s">
        <v>452</v>
      </c>
      <c r="I13" s="102" t="s">
        <v>451</v>
      </c>
      <c r="J13">
        <v>6</v>
      </c>
      <c r="K13">
        <v>5</v>
      </c>
      <c r="L13">
        <v>5</v>
      </c>
      <c r="M13">
        <v>6</v>
      </c>
      <c r="N13">
        <v>6</v>
      </c>
    </row>
    <row r="14" spans="1:14" x14ac:dyDescent="0.3">
      <c r="A14" s="108" t="s">
        <v>169</v>
      </c>
      <c r="C14" s="109" t="s">
        <v>167</v>
      </c>
      <c r="G14" t="s">
        <v>353</v>
      </c>
      <c r="I14" s="102" t="s">
        <v>462</v>
      </c>
      <c r="J14" s="134"/>
      <c r="K14" s="134"/>
      <c r="L14" s="134"/>
      <c r="M14" s="135" t="s">
        <v>463</v>
      </c>
      <c r="N14" s="135" t="s">
        <v>464</v>
      </c>
    </row>
    <row r="15" spans="1:14" ht="16.2" x14ac:dyDescent="0.3">
      <c r="A15" s="102" t="s">
        <v>5</v>
      </c>
      <c r="C15" s="106">
        <f>HLOOKUP($C$14,$J$1:$N$13,2)</f>
        <v>1.1000000000000001</v>
      </c>
      <c r="D15" s="105" t="str">
        <f>TEXT(C15,"0.00")</f>
        <v>1.10</v>
      </c>
      <c r="G15" t="s">
        <v>484</v>
      </c>
      <c r="I15" s="102" t="s">
        <v>481</v>
      </c>
      <c r="J15" t="s">
        <v>482</v>
      </c>
      <c r="K15" t="s">
        <v>483</v>
      </c>
      <c r="L15" t="s">
        <v>482</v>
      </c>
      <c r="M15" t="s">
        <v>482</v>
      </c>
      <c r="N15" t="s">
        <v>482</v>
      </c>
    </row>
    <row r="16" spans="1:14" x14ac:dyDescent="0.3">
      <c r="A16" s="102" t="s">
        <v>6</v>
      </c>
      <c r="C16" s="106">
        <f>HLOOKUP($C$14,$J$1:$N$13,3)</f>
        <v>4.21</v>
      </c>
      <c r="G16" t="str">
        <f>C25&amp;" has not been provided"</f>
        <v>0 has not been provided</v>
      </c>
    </row>
    <row r="17" spans="1:8" x14ac:dyDescent="0.3">
      <c r="A17" s="102" t="s">
        <v>7</v>
      </c>
      <c r="C17" s="106">
        <f>HLOOKUP($C$14,$J$1:$N$13,4)</f>
        <v>5.24</v>
      </c>
      <c r="D17" s="106"/>
    </row>
    <row r="18" spans="1:8" x14ac:dyDescent="0.3">
      <c r="A18" s="102" t="s">
        <v>8</v>
      </c>
      <c r="C18" s="106">
        <f>HLOOKUP($C$14,$J$1:$N$13,5)</f>
        <v>6.17</v>
      </c>
    </row>
    <row r="19" spans="1:8" x14ac:dyDescent="0.3">
      <c r="A19" s="102" t="s">
        <v>9</v>
      </c>
      <c r="C19" s="106">
        <f>HLOOKUP($C$14,$J$1:$N$13,6)</f>
        <v>7.55</v>
      </c>
      <c r="G19" t="s">
        <v>374</v>
      </c>
      <c r="H19" t="s">
        <v>375</v>
      </c>
    </row>
    <row r="20" spans="1:8" x14ac:dyDescent="0.3">
      <c r="A20" s="102" t="s">
        <v>480</v>
      </c>
      <c r="C20" s="106">
        <f>HLOOKUP($C$14,$J$1:$N$13,7)</f>
        <v>8.6999999999999993</v>
      </c>
    </row>
    <row r="21" spans="1:8" x14ac:dyDescent="0.3">
      <c r="A21" s="102" t="s">
        <v>10</v>
      </c>
      <c r="C21" s="106">
        <f>HLOOKUP($C$14,$J$1:$N$13,8)</f>
        <v>9.93</v>
      </c>
      <c r="G21" t="s">
        <v>376</v>
      </c>
      <c r="H21" t="s">
        <v>377</v>
      </c>
    </row>
    <row r="22" spans="1:8" x14ac:dyDescent="0.3">
      <c r="A22" s="102" t="s">
        <v>363</v>
      </c>
      <c r="C22" s="111" t="str">
        <f>HLOOKUP($C$14,$J$1:$N$13,9)</f>
        <v>1 July 2018</v>
      </c>
      <c r="G22" t="s">
        <v>378</v>
      </c>
      <c r="H22" t="s">
        <v>379</v>
      </c>
    </row>
    <row r="23" spans="1:8" x14ac:dyDescent="0.3">
      <c r="A23" s="102" t="s">
        <v>373</v>
      </c>
      <c r="C23" s="111" t="str">
        <f>HLOOKUP($C$14,$J$1:$N$13,10)</f>
        <v>City</v>
      </c>
      <c r="G23" t="s">
        <v>380</v>
      </c>
      <c r="H23" t="s">
        <v>381</v>
      </c>
    </row>
    <row r="24" spans="1:8" x14ac:dyDescent="0.3">
      <c r="A24" s="102" t="s">
        <v>371</v>
      </c>
      <c r="C24" s="111" t="str">
        <f>HLOOKUP($C$14,$J$1:$N$13,11)</f>
        <v xml:space="preserve"> O&amp;M Agreement</v>
      </c>
      <c r="G24" t="s">
        <v>382</v>
      </c>
      <c r="H24" t="s">
        <v>383</v>
      </c>
    </row>
    <row r="25" spans="1:8" x14ac:dyDescent="0.3">
      <c r="A25" s="102" t="s">
        <v>449</v>
      </c>
      <c r="C25">
        <f>HLOOKUP($C$14,$J$1:$N$13,12)</f>
        <v>0</v>
      </c>
      <c r="G25" t="s">
        <v>384</v>
      </c>
      <c r="H25" t="s">
        <v>385</v>
      </c>
    </row>
    <row r="26" spans="1:8" x14ac:dyDescent="0.3">
      <c r="A26" s="102" t="s">
        <v>451</v>
      </c>
      <c r="C26" s="106">
        <f>HLOOKUP($C$14,$J$1:$N$13,13)</f>
        <v>6</v>
      </c>
      <c r="G26" t="s">
        <v>386</v>
      </c>
      <c r="H26" t="s">
        <v>387</v>
      </c>
    </row>
    <row r="27" spans="1:8" x14ac:dyDescent="0.3">
      <c r="A27" s="102" t="s">
        <v>465</v>
      </c>
      <c r="C27" s="134" t="str">
        <f>HLOOKUP($C$14,$J$1:$N$14,14)</f>
        <v>1 September</v>
      </c>
    </row>
    <row r="28" spans="1:8" x14ac:dyDescent="0.3">
      <c r="A28" s="102" t="s">
        <v>481</v>
      </c>
      <c r="C28" s="134" t="str">
        <f>HLOOKUP($C$14,$J$1:$N$15,15)</f>
        <v>2, 5, 10, and 25</v>
      </c>
    </row>
    <row r="31" spans="1:8" x14ac:dyDescent="0.3">
      <c r="E31" s="132" t="s">
        <v>442</v>
      </c>
    </row>
    <row r="32" spans="1:8" ht="60" customHeight="1" x14ac:dyDescent="0.3">
      <c r="B32" s="102" t="s">
        <v>166</v>
      </c>
    </row>
    <row r="33" spans="2:2" ht="60" customHeight="1" x14ac:dyDescent="0.3">
      <c r="B33" s="102" t="s">
        <v>360</v>
      </c>
    </row>
    <row r="34" spans="2:2" ht="60" customHeight="1" x14ac:dyDescent="0.3">
      <c r="B34" s="102" t="s">
        <v>168</v>
      </c>
    </row>
    <row r="35" spans="2:2" ht="60" customHeight="1" x14ac:dyDescent="0.3">
      <c r="B35" s="102" t="s">
        <v>165</v>
      </c>
    </row>
    <row r="36" spans="2:2" ht="60" customHeight="1" x14ac:dyDescent="0.3">
      <c r="B36" s="102" t="s">
        <v>167</v>
      </c>
    </row>
  </sheetData>
  <dataValidations count="1">
    <dataValidation type="list" allowBlank="1" showInputMessage="1" showErrorMessage="1" sqref="C14" xr:uid="{72F3BB5F-638F-49B0-81F5-3EA65ED35E7A}">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442E-5BDD-4EB7-ACA3-35258981D945}">
  <sheetPr codeName="Sheet4">
    <tabColor theme="2" tint="-0.499984740745262"/>
    <pageSetUpPr fitToPage="1"/>
  </sheetPr>
  <dimension ref="A1:T57"/>
  <sheetViews>
    <sheetView showGridLines="0" showRowColHeaders="0" tabSelected="1" zoomScale="130" zoomScaleNormal="130" workbookViewId="0">
      <selection activeCell="C4" sqref="C4:Q5"/>
    </sheetView>
  </sheetViews>
  <sheetFormatPr defaultColWidth="0" defaultRowHeight="0" customHeight="1" zeroHeight="1" x14ac:dyDescent="0.3"/>
  <cols>
    <col min="1" max="1" width="2.77734375" style="15" customWidth="1"/>
    <col min="2" max="2" width="5.77734375" style="14" customWidth="1"/>
    <col min="3" max="8" width="2.77734375" style="15" customWidth="1"/>
    <col min="9" max="17" width="8.88671875" style="15" customWidth="1"/>
    <col min="18" max="20" width="0" style="15" hidden="1" customWidth="1"/>
    <col min="21" max="16384" width="8.88671875" style="15" hidden="1"/>
  </cols>
  <sheetData>
    <row r="1" spans="2:17" ht="19.95" customHeight="1" x14ac:dyDescent="0.3"/>
    <row r="2" spans="2:17" ht="19.95" customHeight="1" x14ac:dyDescent="0.3">
      <c r="B2" s="62" t="s">
        <v>69</v>
      </c>
    </row>
    <row r="3" spans="2:17" ht="4.95" customHeight="1" x14ac:dyDescent="0.3">
      <c r="B3" s="62"/>
    </row>
    <row r="4" spans="2:17" ht="19.95" customHeight="1" x14ac:dyDescent="0.3">
      <c r="B4" s="14">
        <v>1</v>
      </c>
      <c r="C4" s="139" t="s">
        <v>457</v>
      </c>
      <c r="D4" s="139"/>
      <c r="E4" s="139"/>
      <c r="F4" s="139"/>
      <c r="G4" s="139"/>
      <c r="H4" s="139"/>
      <c r="I4" s="139"/>
      <c r="J4" s="139"/>
      <c r="K4" s="139"/>
      <c r="L4" s="139"/>
      <c r="M4" s="139"/>
      <c r="N4" s="139"/>
      <c r="O4" s="139"/>
      <c r="P4" s="139"/>
      <c r="Q4" s="139"/>
    </row>
    <row r="5" spans="2:17" ht="19.95" customHeight="1" x14ac:dyDescent="0.3">
      <c r="C5" s="139"/>
      <c r="D5" s="139"/>
      <c r="E5" s="139"/>
      <c r="F5" s="139"/>
      <c r="G5" s="139"/>
      <c r="H5" s="139"/>
      <c r="I5" s="139"/>
      <c r="J5" s="139"/>
      <c r="K5" s="139"/>
      <c r="L5" s="139"/>
      <c r="M5" s="139"/>
      <c r="N5" s="139"/>
      <c r="O5" s="139"/>
      <c r="P5" s="139"/>
      <c r="Q5" s="139"/>
    </row>
    <row r="6" spans="2:17" ht="19.95" customHeight="1" x14ac:dyDescent="0.3">
      <c r="B6" s="14">
        <f>B4+1</f>
        <v>2</v>
      </c>
      <c r="C6" s="15" t="s">
        <v>71</v>
      </c>
    </row>
    <row r="7" spans="2:17" ht="19.95" customHeight="1" x14ac:dyDescent="0.3">
      <c r="C7" s="16"/>
      <c r="D7" s="16"/>
      <c r="E7" s="16"/>
      <c r="F7" s="16"/>
      <c r="I7" s="15" t="s">
        <v>68</v>
      </c>
    </row>
    <row r="8" spans="2:17" ht="10.050000000000001" customHeight="1" x14ac:dyDescent="0.3"/>
    <row r="9" spans="2:17" ht="15" customHeight="1" x14ac:dyDescent="0.3">
      <c r="C9" s="17"/>
      <c r="D9" s="17"/>
      <c r="E9" s="17"/>
      <c r="F9" s="17"/>
      <c r="I9" s="140" t="s">
        <v>443</v>
      </c>
      <c r="J9" s="140"/>
      <c r="K9" s="140"/>
      <c r="L9" s="140"/>
      <c r="M9" s="140"/>
      <c r="N9" s="140"/>
      <c r="O9" s="140"/>
      <c r="P9" s="140"/>
      <c r="Q9" s="140"/>
    </row>
    <row r="10" spans="2:17" ht="15" customHeight="1" x14ac:dyDescent="0.3">
      <c r="I10" s="140"/>
      <c r="J10" s="140"/>
      <c r="K10" s="140"/>
      <c r="L10" s="140"/>
      <c r="M10" s="140"/>
      <c r="N10" s="140"/>
      <c r="O10" s="140"/>
      <c r="P10" s="140"/>
      <c r="Q10" s="140"/>
    </row>
    <row r="11" spans="2:17" ht="10.050000000000001" customHeight="1" x14ac:dyDescent="0.3">
      <c r="I11" s="64"/>
      <c r="J11" s="64"/>
      <c r="K11" s="64"/>
      <c r="L11" s="64"/>
      <c r="M11" s="64"/>
      <c r="N11" s="64"/>
      <c r="O11" s="64"/>
      <c r="P11" s="64"/>
      <c r="Q11" s="64"/>
    </row>
    <row r="12" spans="2:17" ht="15" customHeight="1" x14ac:dyDescent="0.3">
      <c r="F12" s="21"/>
      <c r="I12" s="140" t="s">
        <v>258</v>
      </c>
      <c r="J12" s="140"/>
      <c r="K12" s="140"/>
      <c r="L12" s="140"/>
      <c r="M12" s="140"/>
      <c r="N12" s="140"/>
      <c r="O12" s="140"/>
      <c r="P12" s="140"/>
      <c r="Q12" s="140"/>
    </row>
    <row r="13" spans="2:17" ht="15" customHeight="1" x14ac:dyDescent="0.3">
      <c r="I13" s="140"/>
      <c r="J13" s="140"/>
      <c r="K13" s="140"/>
      <c r="L13" s="140"/>
      <c r="M13" s="140"/>
      <c r="N13" s="140"/>
      <c r="O13" s="140"/>
      <c r="P13" s="140"/>
      <c r="Q13" s="140"/>
    </row>
    <row r="14" spans="2:17" ht="15" customHeight="1" x14ac:dyDescent="0.3">
      <c r="I14" s="140"/>
      <c r="J14" s="140"/>
      <c r="K14" s="140"/>
      <c r="L14" s="140"/>
      <c r="M14" s="140"/>
      <c r="N14" s="140"/>
      <c r="O14" s="140"/>
      <c r="P14" s="140"/>
      <c r="Q14" s="140"/>
    </row>
    <row r="15" spans="2:17" ht="15" customHeight="1" x14ac:dyDescent="0.3">
      <c r="I15" s="140"/>
      <c r="J15" s="140"/>
      <c r="K15" s="140"/>
      <c r="L15" s="140"/>
      <c r="M15" s="140"/>
      <c r="N15" s="140"/>
      <c r="O15" s="140"/>
      <c r="P15" s="140"/>
      <c r="Q15" s="140"/>
    </row>
    <row r="16" spans="2:17" ht="10.050000000000001" customHeight="1" x14ac:dyDescent="0.3">
      <c r="I16" s="65"/>
      <c r="J16" s="65"/>
      <c r="K16" s="65"/>
      <c r="L16" s="65"/>
      <c r="M16" s="65"/>
      <c r="N16" s="65"/>
      <c r="O16" s="65"/>
      <c r="P16" s="65"/>
      <c r="Q16" s="65"/>
    </row>
    <row r="17" spans="3:17" ht="15" customHeight="1" x14ac:dyDescent="0.3">
      <c r="C17" s="21"/>
      <c r="D17" s="39" t="s">
        <v>130</v>
      </c>
      <c r="E17" s="39"/>
      <c r="F17" s="21"/>
      <c r="G17" s="39" t="s">
        <v>131</v>
      </c>
      <c r="I17" s="140" t="s">
        <v>223</v>
      </c>
      <c r="J17" s="140"/>
      <c r="K17" s="140"/>
      <c r="L17" s="140"/>
      <c r="M17" s="140"/>
      <c r="N17" s="140"/>
      <c r="O17" s="140"/>
      <c r="P17" s="140"/>
      <c r="Q17" s="140"/>
    </row>
    <row r="18" spans="3:17" ht="15" customHeight="1" x14ac:dyDescent="0.3">
      <c r="I18" s="140"/>
      <c r="J18" s="140"/>
      <c r="K18" s="140"/>
      <c r="L18" s="140"/>
      <c r="M18" s="140"/>
      <c r="N18" s="140"/>
      <c r="O18" s="140"/>
      <c r="P18" s="140"/>
      <c r="Q18" s="140"/>
    </row>
    <row r="19" spans="3:17" ht="10.050000000000001" customHeight="1" x14ac:dyDescent="0.3"/>
    <row r="20" spans="3:17" ht="15" customHeight="1" x14ac:dyDescent="0.3">
      <c r="C20" s="18"/>
      <c r="D20" s="18"/>
      <c r="E20" s="18"/>
      <c r="F20" s="18"/>
      <c r="I20" s="140" t="s">
        <v>70</v>
      </c>
      <c r="J20" s="140"/>
      <c r="K20" s="140"/>
      <c r="L20" s="140"/>
      <c r="M20" s="140"/>
      <c r="N20" s="140"/>
      <c r="O20" s="140"/>
      <c r="P20" s="140"/>
      <c r="Q20" s="140"/>
    </row>
    <row r="21" spans="3:17" ht="15" customHeight="1" x14ac:dyDescent="0.3">
      <c r="I21" s="140"/>
      <c r="J21" s="140"/>
      <c r="K21" s="140"/>
      <c r="L21" s="140"/>
      <c r="M21" s="140"/>
      <c r="N21" s="140"/>
      <c r="O21" s="140"/>
      <c r="P21" s="140"/>
      <c r="Q21" s="140"/>
    </row>
    <row r="22" spans="3:17" ht="15" customHeight="1" x14ac:dyDescent="0.3">
      <c r="I22" s="140"/>
      <c r="J22" s="140"/>
      <c r="K22" s="140"/>
      <c r="L22" s="140"/>
      <c r="M22" s="140"/>
      <c r="N22" s="140"/>
      <c r="O22" s="140"/>
      <c r="P22" s="140"/>
      <c r="Q22" s="140"/>
    </row>
    <row r="23" spans="3:17" ht="19.95" customHeight="1" x14ac:dyDescent="0.3">
      <c r="I23" s="140"/>
      <c r="J23" s="140"/>
      <c r="K23" s="140"/>
      <c r="L23" s="140"/>
      <c r="M23" s="140"/>
      <c r="N23" s="140"/>
      <c r="O23" s="140"/>
      <c r="P23" s="140"/>
      <c r="Q23" s="140"/>
    </row>
    <row r="24" spans="3:17" ht="10.050000000000001" customHeight="1" x14ac:dyDescent="0.3">
      <c r="I24" s="65"/>
      <c r="J24" s="65"/>
      <c r="K24" s="65"/>
      <c r="L24" s="65"/>
      <c r="M24" s="65"/>
      <c r="N24" s="65"/>
      <c r="O24" s="65"/>
      <c r="P24" s="65"/>
      <c r="Q24" s="65"/>
    </row>
    <row r="25" spans="3:17" ht="15" customHeight="1" x14ac:dyDescent="0.3">
      <c r="C25" s="19"/>
      <c r="D25" s="19"/>
      <c r="E25" s="19"/>
      <c r="F25" s="19"/>
      <c r="I25" s="140" t="s">
        <v>120</v>
      </c>
      <c r="J25" s="140"/>
      <c r="K25" s="140"/>
      <c r="L25" s="140"/>
      <c r="M25" s="140"/>
      <c r="N25" s="140"/>
      <c r="O25" s="140"/>
      <c r="P25" s="140"/>
      <c r="Q25" s="140"/>
    </row>
    <row r="26" spans="3:17" ht="15" customHeight="1" x14ac:dyDescent="0.3">
      <c r="I26" s="140"/>
      <c r="J26" s="140"/>
      <c r="K26" s="140"/>
      <c r="L26" s="140"/>
      <c r="M26" s="140"/>
      <c r="N26" s="140"/>
      <c r="O26" s="140"/>
      <c r="P26" s="140"/>
      <c r="Q26" s="140"/>
    </row>
    <row r="27" spans="3:17" ht="10.050000000000001" customHeight="1" x14ac:dyDescent="0.3"/>
    <row r="28" spans="3:17" ht="19.95" customHeight="1" x14ac:dyDescent="0.3">
      <c r="C28" s="20" t="s">
        <v>32</v>
      </c>
      <c r="D28" s="20"/>
      <c r="E28" s="20"/>
      <c r="F28" s="20"/>
      <c r="I28" s="15" t="s">
        <v>458</v>
      </c>
    </row>
    <row r="29" spans="3:17" ht="10.050000000000001" customHeight="1" x14ac:dyDescent="0.3"/>
    <row r="30" spans="3:17" ht="19.95" customHeight="1" x14ac:dyDescent="0.3">
      <c r="C30" s="5" t="s">
        <v>34</v>
      </c>
      <c r="D30" s="5"/>
      <c r="E30" s="5"/>
      <c r="F30" s="5"/>
      <c r="I30" s="15" t="s">
        <v>73</v>
      </c>
    </row>
    <row r="31" spans="3:17" ht="10.050000000000001" customHeight="1" x14ac:dyDescent="0.3"/>
    <row r="32" spans="3:17" ht="19.95" customHeight="1" x14ac:dyDescent="0.3">
      <c r="C32" s="5" t="s">
        <v>24</v>
      </c>
      <c r="D32" s="5"/>
      <c r="E32" s="5"/>
      <c r="F32" s="5"/>
      <c r="I32" s="15" t="s">
        <v>121</v>
      </c>
    </row>
    <row r="33" spans="2:17" ht="10.050000000000001" customHeight="1" x14ac:dyDescent="0.3"/>
    <row r="34" spans="2:17" ht="19.95" customHeight="1" x14ac:dyDescent="0.3">
      <c r="B34" s="14">
        <f>B6+1</f>
        <v>3</v>
      </c>
      <c r="C34" s="15" t="s">
        <v>260</v>
      </c>
    </row>
    <row r="35" spans="2:17" ht="19.95" customHeight="1" x14ac:dyDescent="0.3">
      <c r="B35" s="14">
        <f>B34+1</f>
        <v>4</v>
      </c>
      <c r="C35" s="140" t="s">
        <v>259</v>
      </c>
      <c r="D35" s="140"/>
      <c r="E35" s="140"/>
      <c r="F35" s="140"/>
      <c r="G35" s="140"/>
      <c r="H35" s="140"/>
      <c r="I35" s="140"/>
      <c r="J35" s="140"/>
      <c r="K35" s="140"/>
      <c r="L35" s="140"/>
      <c r="M35" s="140"/>
      <c r="N35" s="140"/>
      <c r="O35" s="140"/>
      <c r="P35" s="140"/>
      <c r="Q35" s="140"/>
    </row>
    <row r="36" spans="2:17" ht="15" customHeight="1" x14ac:dyDescent="0.3">
      <c r="C36" s="140"/>
      <c r="D36" s="140"/>
      <c r="E36" s="140"/>
      <c r="F36" s="140"/>
      <c r="G36" s="140"/>
      <c r="H36" s="140"/>
      <c r="I36" s="140"/>
      <c r="J36" s="140"/>
      <c r="K36" s="140"/>
      <c r="L36" s="140"/>
      <c r="M36" s="140"/>
      <c r="N36" s="140"/>
      <c r="O36" s="140"/>
      <c r="P36" s="140"/>
      <c r="Q36" s="140"/>
    </row>
    <row r="37" spans="2:17" ht="19.95" customHeight="1" x14ac:dyDescent="0.3">
      <c r="B37" s="14">
        <v>5</v>
      </c>
      <c r="C37" s="139" t="s">
        <v>224</v>
      </c>
      <c r="D37" s="139"/>
      <c r="E37" s="139"/>
      <c r="F37" s="139"/>
      <c r="G37" s="139"/>
      <c r="H37" s="139"/>
      <c r="I37" s="139"/>
      <c r="J37" s="139"/>
      <c r="K37" s="139"/>
      <c r="L37" s="139"/>
      <c r="M37" s="139"/>
      <c r="N37" s="139"/>
      <c r="O37" s="139"/>
      <c r="P37" s="139"/>
      <c r="Q37" s="139"/>
    </row>
    <row r="38" spans="2:17" ht="19.95" customHeight="1" x14ac:dyDescent="0.3">
      <c r="C38" s="139"/>
      <c r="D38" s="139"/>
      <c r="E38" s="139"/>
      <c r="F38" s="139"/>
      <c r="G38" s="139"/>
      <c r="H38" s="139"/>
      <c r="I38" s="139"/>
      <c r="J38" s="139"/>
      <c r="K38" s="139"/>
      <c r="L38" s="139"/>
      <c r="M38" s="139"/>
      <c r="N38" s="139"/>
      <c r="O38" s="139"/>
      <c r="P38" s="139"/>
      <c r="Q38" s="139"/>
    </row>
    <row r="39" spans="2:17" ht="12" customHeight="1" x14ac:dyDescent="0.3">
      <c r="C39" s="139"/>
      <c r="D39" s="139"/>
      <c r="E39" s="139"/>
      <c r="F39" s="139"/>
      <c r="G39" s="139"/>
      <c r="H39" s="139"/>
      <c r="I39" s="139"/>
      <c r="J39" s="139"/>
      <c r="K39" s="139"/>
      <c r="L39" s="139"/>
      <c r="M39" s="139"/>
      <c r="N39" s="139"/>
      <c r="O39" s="139"/>
      <c r="P39" s="139"/>
      <c r="Q39" s="139"/>
    </row>
    <row r="40" spans="2:17" ht="19.95" customHeight="1" x14ac:dyDescent="0.3">
      <c r="B40" s="14">
        <v>6</v>
      </c>
      <c r="C40" s="15" t="s">
        <v>400</v>
      </c>
    </row>
    <row r="41" spans="2:17" ht="19.95" customHeight="1" x14ac:dyDescent="0.3"/>
    <row r="42" spans="2:17" ht="19.95" customHeight="1" x14ac:dyDescent="0.3"/>
    <row r="43" spans="2:17" ht="19.95" customHeight="1" x14ac:dyDescent="0.3"/>
    <row r="44" spans="2:17" ht="19.95" customHeight="1" x14ac:dyDescent="0.3"/>
    <row r="45" spans="2:17" ht="19.95" customHeight="1" x14ac:dyDescent="0.3"/>
    <row r="46" spans="2:17" ht="19.95" customHeight="1" x14ac:dyDescent="0.3"/>
    <row r="47" spans="2:17" ht="19.95" customHeight="1" x14ac:dyDescent="0.3"/>
    <row r="48" spans="2:17"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sheetData>
  <sheetProtection algorithmName="SHA-512" hashValue="4FNE9Rv4rA+WnrrJM+gqCqAUge/DgGNG00AoxgummN2DOwqU9Lbanu3HXmClQE7rh/zxdBs6uH0c9Q0jF45iLg==" saltValue="wP7a+6UcVHoYURl0Dexvmw==" spinCount="100000" sheet="1" objects="1" scenarios="1" selectLockedCells="1"/>
  <mergeCells count="8">
    <mergeCell ref="C37:Q39"/>
    <mergeCell ref="C4:Q5"/>
    <mergeCell ref="I9:Q10"/>
    <mergeCell ref="I25:Q26"/>
    <mergeCell ref="C35:Q36"/>
    <mergeCell ref="I20:Q23"/>
    <mergeCell ref="I17:Q18"/>
    <mergeCell ref="I12:Q15"/>
  </mergeCells>
  <conditionalFormatting sqref="C17">
    <cfRule type="expression" dxfId="243" priority="2">
      <formula>ISBLANK(C17)</formula>
    </cfRule>
  </conditionalFormatting>
  <conditionalFormatting sqref="C9:F9">
    <cfRule type="expression" dxfId="242" priority="5">
      <formula>ISBLANK(C9)</formula>
    </cfRule>
  </conditionalFormatting>
  <conditionalFormatting sqref="F12">
    <cfRule type="expression" dxfId="241" priority="4">
      <formula>ISBLANK(F12)</formula>
    </cfRule>
  </conditionalFormatting>
  <conditionalFormatting sqref="F17">
    <cfRule type="expression" dxfId="240" priority="1">
      <formula>ISBLANK(F17)</formula>
    </cfRule>
  </conditionalFormatting>
  <pageMargins left="0.2" right="0.2" top="0.5" bottom="0.25" header="0.3" footer="0.3"/>
  <pageSetup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AB6BEEF-B1DA-4646-852C-94D854C30A2A}">
          <x14:formula1>
            <xm:f>Tables!$E$2:$E$4</xm:f>
          </x14:formula1>
          <xm:sqref>C28:F28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N203"/>
  <sheetViews>
    <sheetView showGridLines="0" showRowColHeaders="0" showZeros="0" zoomScale="150" zoomScaleNormal="150" workbookViewId="0">
      <selection activeCell="E13" sqref="E13:X13"/>
    </sheetView>
  </sheetViews>
  <sheetFormatPr defaultColWidth="0" defaultRowHeight="0" customHeight="1" zeroHeight="1" x14ac:dyDescent="0.3"/>
  <cols>
    <col min="1" max="1" width="1.77734375" style="39" customWidth="1"/>
    <col min="2" max="36" width="2.77734375" style="39" customWidth="1"/>
    <col min="37" max="37" width="1.77734375" style="39" customWidth="1"/>
    <col min="38" max="38" width="10.33203125" style="13" hidden="1" customWidth="1"/>
    <col min="39" max="39" width="7.21875" style="13" hidden="1" customWidth="1"/>
    <col min="40" max="41" width="8.77734375" style="13" hidden="1" customWidth="1"/>
    <col min="42" max="42" width="2.77734375" style="39" customWidth="1"/>
    <col min="43" max="43" width="3.77734375" style="39" customWidth="1"/>
    <col min="44" max="77" width="2.77734375" style="39" customWidth="1"/>
    <col min="78" max="80" width="2.77734375" style="39" hidden="1" customWidth="1"/>
    <col min="81" max="81" width="8.77734375" style="39" hidden="1" customWidth="1"/>
    <col min="82" max="92" width="0" style="39" hidden="1" customWidth="1"/>
    <col min="93" max="16384" width="8.88671875" style="39" hidden="1"/>
  </cols>
  <sheetData>
    <row r="1" spans="1:92" ht="15" customHeight="1" x14ac:dyDescent="0.3">
      <c r="O1" s="3"/>
      <c r="P1" s="3"/>
      <c r="Q1" s="3"/>
      <c r="S1" s="25"/>
      <c r="T1" s="148" t="s">
        <v>263</v>
      </c>
      <c r="U1" s="148"/>
      <c r="V1" s="148"/>
      <c r="W1" s="148"/>
      <c r="X1" s="148"/>
      <c r="Y1" s="148"/>
      <c r="Z1" s="148"/>
      <c r="AA1" s="148"/>
      <c r="AB1" s="148"/>
      <c r="AC1" s="148"/>
      <c r="AD1" s="148"/>
      <c r="AE1" s="148"/>
      <c r="AF1" s="148"/>
      <c r="AG1" s="148"/>
      <c r="AH1" s="148"/>
      <c r="AI1" s="148"/>
      <c r="AJ1" s="148"/>
      <c r="AK1" s="148"/>
      <c r="AL1" s="82"/>
      <c r="AM1" s="82"/>
      <c r="AN1" s="82"/>
      <c r="AO1" s="82"/>
      <c r="BG1" s="25"/>
      <c r="BH1" s="148" t="str">
        <f>T1</f>
        <v>Form 2D - Bioretention Area
Design Form</v>
      </c>
      <c r="BI1" s="148"/>
      <c r="BJ1" s="148"/>
      <c r="BK1" s="148"/>
      <c r="BL1" s="148"/>
      <c r="BM1" s="148"/>
      <c r="BN1" s="148"/>
      <c r="BO1" s="148"/>
      <c r="BP1" s="148"/>
      <c r="BQ1" s="148"/>
      <c r="BR1" s="148"/>
      <c r="BS1" s="148"/>
      <c r="BT1" s="148"/>
      <c r="BU1" s="148"/>
      <c r="BV1" s="148"/>
      <c r="BW1" s="148"/>
      <c r="BX1" s="148"/>
      <c r="CI1" s="83"/>
      <c r="CJ1" s="83"/>
      <c r="CK1" s="83"/>
      <c r="CL1" s="83"/>
      <c r="CM1" s="83"/>
      <c r="CN1" s="83"/>
    </row>
    <row r="2" spans="1:92" ht="15" customHeight="1" x14ac:dyDescent="0.3">
      <c r="J2" s="3"/>
      <c r="K2" s="3"/>
      <c r="L2" s="3"/>
      <c r="M2" s="3"/>
      <c r="N2" s="3"/>
      <c r="O2" s="3"/>
      <c r="P2" s="3"/>
      <c r="Q2" s="3"/>
      <c r="R2" s="25"/>
      <c r="S2" s="25"/>
      <c r="T2" s="148"/>
      <c r="U2" s="148"/>
      <c r="V2" s="148"/>
      <c r="W2" s="148"/>
      <c r="X2" s="148"/>
      <c r="Y2" s="148"/>
      <c r="Z2" s="148"/>
      <c r="AA2" s="148"/>
      <c r="AB2" s="148"/>
      <c r="AC2" s="148"/>
      <c r="AD2" s="148"/>
      <c r="AE2" s="148"/>
      <c r="AF2" s="148"/>
      <c r="AG2" s="148"/>
      <c r="AH2" s="148"/>
      <c r="AI2" s="148"/>
      <c r="AJ2" s="148"/>
      <c r="AK2" s="148"/>
      <c r="AL2" s="82"/>
      <c r="AM2" s="82"/>
      <c r="AN2" s="82"/>
      <c r="AO2" s="82"/>
      <c r="BF2" s="25"/>
      <c r="BG2" s="25"/>
      <c r="BH2" s="148"/>
      <c r="BI2" s="148"/>
      <c r="BJ2" s="148"/>
      <c r="BK2" s="148"/>
      <c r="BL2" s="148"/>
      <c r="BM2" s="148"/>
      <c r="BN2" s="148"/>
      <c r="BO2" s="148"/>
      <c r="BP2" s="148"/>
      <c r="BQ2" s="148"/>
      <c r="BR2" s="148"/>
      <c r="BS2" s="148"/>
      <c r="BT2" s="148"/>
      <c r="BU2" s="148"/>
      <c r="BV2" s="148"/>
      <c r="BW2" s="148"/>
      <c r="BX2" s="148"/>
      <c r="CC2" s="83"/>
      <c r="CI2" s="83"/>
      <c r="CJ2" s="83"/>
      <c r="CK2" s="83"/>
      <c r="CL2" s="83"/>
      <c r="CM2" s="83"/>
      <c r="CN2" s="83"/>
    </row>
    <row r="3" spans="1:92" ht="15" customHeight="1" x14ac:dyDescent="0.3">
      <c r="J3" s="3"/>
      <c r="K3" s="3"/>
      <c r="L3" s="3"/>
      <c r="M3" s="3"/>
      <c r="N3" s="3"/>
      <c r="O3" s="3"/>
      <c r="P3" s="3"/>
      <c r="Q3" s="3"/>
      <c r="R3" s="25"/>
      <c r="S3" s="25"/>
      <c r="T3" s="148"/>
      <c r="U3" s="148"/>
      <c r="V3" s="148"/>
      <c r="W3" s="148"/>
      <c r="X3" s="148"/>
      <c r="Y3" s="148"/>
      <c r="Z3" s="148"/>
      <c r="AA3" s="148"/>
      <c r="AB3" s="148"/>
      <c r="AC3" s="148"/>
      <c r="AD3" s="148"/>
      <c r="AE3" s="148"/>
      <c r="AF3" s="148"/>
      <c r="AG3" s="148"/>
      <c r="AH3" s="148"/>
      <c r="AI3" s="148"/>
      <c r="AJ3" s="148"/>
      <c r="AK3" s="148"/>
      <c r="AL3" s="82"/>
      <c r="AM3" s="82"/>
      <c r="AN3" s="82"/>
      <c r="AO3" s="82"/>
      <c r="BF3" s="25"/>
      <c r="BG3" s="25"/>
      <c r="BH3" s="148"/>
      <c r="BI3" s="148"/>
      <c r="BJ3" s="148"/>
      <c r="BK3" s="148"/>
      <c r="BL3" s="148"/>
      <c r="BM3" s="148"/>
      <c r="BN3" s="148"/>
      <c r="BO3" s="148"/>
      <c r="BP3" s="148"/>
      <c r="BQ3" s="148"/>
      <c r="BR3" s="148"/>
      <c r="BS3" s="148"/>
      <c r="BT3" s="148"/>
      <c r="BU3" s="148"/>
      <c r="BV3" s="148"/>
      <c r="BW3" s="148"/>
      <c r="BX3" s="148"/>
      <c r="CC3" s="83"/>
      <c r="CI3" s="83"/>
      <c r="CJ3" s="83"/>
      <c r="CK3" s="83"/>
      <c r="CL3" s="83"/>
      <c r="CM3" s="83"/>
      <c r="CN3" s="83"/>
    </row>
    <row r="4" spans="1:92" ht="15" customHeight="1" x14ac:dyDescent="0.3">
      <c r="J4" s="3"/>
      <c r="K4" s="3"/>
      <c r="L4" s="3"/>
      <c r="M4" s="3"/>
      <c r="N4" s="3"/>
      <c r="O4" s="3"/>
      <c r="P4" s="3"/>
      <c r="Q4" s="3"/>
      <c r="R4" s="25"/>
      <c r="S4" s="25"/>
      <c r="T4" s="148"/>
      <c r="U4" s="148"/>
      <c r="V4" s="148"/>
      <c r="W4" s="148"/>
      <c r="X4" s="148"/>
      <c r="Y4" s="148"/>
      <c r="Z4" s="148"/>
      <c r="AA4" s="148"/>
      <c r="AB4" s="148"/>
      <c r="AC4" s="148"/>
      <c r="AD4" s="148"/>
      <c r="AE4" s="148"/>
      <c r="AF4" s="148"/>
      <c r="AG4" s="148"/>
      <c r="AH4" s="148"/>
      <c r="AI4" s="148"/>
      <c r="AJ4" s="148"/>
      <c r="AK4" s="148"/>
      <c r="AL4" s="82"/>
      <c r="AM4" s="82"/>
      <c r="AN4" s="82"/>
      <c r="AO4" s="82"/>
      <c r="BF4" s="25"/>
      <c r="BG4" s="25"/>
      <c r="BH4" s="148"/>
      <c r="BI4" s="148"/>
      <c r="BJ4" s="148"/>
      <c r="BK4" s="148"/>
      <c r="BL4" s="148"/>
      <c r="BM4" s="148"/>
      <c r="BN4" s="148"/>
      <c r="BO4" s="148"/>
      <c r="BP4" s="148"/>
      <c r="BQ4" s="148"/>
      <c r="BR4" s="148"/>
      <c r="BS4" s="148"/>
      <c r="BT4" s="148"/>
      <c r="BU4" s="148"/>
      <c r="BV4" s="148"/>
      <c r="BW4" s="148"/>
      <c r="BX4" s="148"/>
      <c r="CC4" s="83"/>
      <c r="CI4" s="83"/>
      <c r="CJ4" s="83"/>
      <c r="CK4" s="83"/>
      <c r="CL4" s="83"/>
      <c r="CM4" s="83"/>
      <c r="CN4" s="83"/>
    </row>
    <row r="5" spans="1:92" ht="4.95" customHeight="1" x14ac:dyDescent="0.3">
      <c r="J5" s="3"/>
      <c r="K5" s="3"/>
      <c r="L5" s="3"/>
      <c r="M5" s="3"/>
      <c r="N5" s="3"/>
      <c r="O5" s="3"/>
      <c r="P5" s="3"/>
      <c r="Q5" s="3"/>
      <c r="R5" s="26"/>
      <c r="S5" s="26"/>
      <c r="T5" s="26"/>
      <c r="U5" s="26"/>
      <c r="V5" s="26"/>
      <c r="W5" s="26"/>
      <c r="X5" s="26"/>
      <c r="Y5" s="26"/>
      <c r="Z5" s="26"/>
      <c r="AA5" s="26"/>
      <c r="AB5" s="26"/>
      <c r="AC5" s="26"/>
      <c r="AD5" s="26"/>
      <c r="AE5" s="26"/>
      <c r="AF5" s="26"/>
      <c r="AG5" s="26"/>
      <c r="AH5" s="26"/>
      <c r="AI5" s="26"/>
      <c r="AJ5" s="26"/>
      <c r="AL5" s="82"/>
      <c r="AM5" s="82"/>
      <c r="AN5" s="82"/>
      <c r="AO5" s="82"/>
    </row>
    <row r="6" spans="1:92" ht="15" customHeight="1" x14ac:dyDescent="0.3">
      <c r="A6" s="27"/>
      <c r="B6" s="28" t="s">
        <v>123</v>
      </c>
      <c r="C6" s="28"/>
      <c r="D6" s="28"/>
      <c r="E6" s="28"/>
      <c r="F6" s="28"/>
      <c r="G6" s="28"/>
      <c r="H6" s="28"/>
      <c r="I6" s="28"/>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30"/>
      <c r="AL6" s="82"/>
      <c r="AM6" s="82"/>
      <c r="AN6" s="82"/>
      <c r="AO6" s="82"/>
      <c r="AQ6" s="144" t="s">
        <v>72</v>
      </c>
      <c r="AR6" s="144"/>
      <c r="AS6" s="144"/>
      <c r="AT6" s="144"/>
      <c r="AU6" s="144"/>
      <c r="AV6" s="144"/>
      <c r="AW6" s="144"/>
      <c r="AX6" s="144"/>
      <c r="AY6" s="144"/>
      <c r="AZ6" s="144"/>
      <c r="BA6" s="144"/>
      <c r="BB6" s="144"/>
      <c r="BC6" s="144"/>
      <c r="BD6" s="144"/>
      <c r="BE6" s="74"/>
      <c r="BF6" s="74"/>
      <c r="BG6" s="74"/>
      <c r="BH6" s="74"/>
      <c r="BI6" s="74"/>
      <c r="BJ6" s="74"/>
      <c r="BK6" s="74"/>
      <c r="BL6" s="74"/>
      <c r="BM6" s="74"/>
      <c r="BN6" s="74"/>
      <c r="BO6" s="74"/>
      <c r="BP6" s="74"/>
      <c r="BQ6" s="74"/>
      <c r="BR6" s="74"/>
      <c r="BS6" s="74"/>
      <c r="BT6" s="74"/>
      <c r="BU6" s="74"/>
      <c r="BV6" s="74"/>
      <c r="BW6" s="74"/>
      <c r="BX6" s="74"/>
      <c r="BY6" s="74"/>
      <c r="BZ6" s="74"/>
      <c r="CA6" s="74"/>
      <c r="CB6" s="74"/>
      <c r="CC6" s="74"/>
    </row>
    <row r="7" spans="1:92" ht="15" customHeight="1" x14ac:dyDescent="0.3">
      <c r="A7" s="31"/>
      <c r="B7" s="10" t="s">
        <v>64</v>
      </c>
      <c r="C7" s="10"/>
      <c r="D7" s="10"/>
      <c r="E7" s="66"/>
      <c r="F7" s="66"/>
      <c r="G7" s="66"/>
      <c r="H7" s="66"/>
      <c r="I7" s="66"/>
      <c r="J7" s="66"/>
      <c r="K7" s="66"/>
      <c r="L7" s="66"/>
      <c r="M7" s="66"/>
      <c r="N7" s="66"/>
      <c r="O7" s="66"/>
      <c r="P7" s="66"/>
      <c r="Q7" s="66"/>
      <c r="R7" s="66"/>
      <c r="S7" s="66"/>
      <c r="T7" s="66"/>
      <c r="U7" s="66"/>
      <c r="V7" s="66"/>
      <c r="W7" s="66"/>
      <c r="X7" s="66"/>
      <c r="Y7" s="66"/>
      <c r="Z7" s="66"/>
      <c r="AA7" s="66"/>
      <c r="AB7" s="66"/>
      <c r="AC7" s="10"/>
      <c r="AD7" s="10"/>
      <c r="AE7" s="32" t="s">
        <v>21</v>
      </c>
      <c r="AF7" s="66"/>
      <c r="AG7" s="66"/>
      <c r="AH7" s="66"/>
      <c r="AI7" s="66"/>
      <c r="AJ7" s="66"/>
      <c r="AK7" s="33"/>
      <c r="AL7" s="82"/>
      <c r="AM7" s="82"/>
      <c r="AN7" s="82"/>
      <c r="AO7" s="82"/>
      <c r="AQ7" s="144"/>
      <c r="AR7" s="144"/>
      <c r="AS7" s="144"/>
      <c r="AT7" s="144"/>
      <c r="AU7" s="144"/>
      <c r="AV7" s="144"/>
      <c r="AW7" s="144"/>
      <c r="AX7" s="144"/>
      <c r="AY7" s="144"/>
      <c r="AZ7" s="144"/>
      <c r="BA7" s="144"/>
      <c r="BB7" s="144"/>
      <c r="BC7" s="144"/>
      <c r="BD7" s="144"/>
      <c r="BE7" s="74"/>
      <c r="BF7" s="74"/>
      <c r="BG7" s="74"/>
      <c r="BH7" s="74"/>
      <c r="BI7" s="74"/>
      <c r="BJ7" s="74"/>
      <c r="BK7" s="74"/>
      <c r="BL7" s="74"/>
      <c r="BM7" s="74"/>
      <c r="BN7" s="74"/>
      <c r="BO7" s="74"/>
      <c r="BP7" s="74"/>
      <c r="BQ7" s="74"/>
      <c r="BR7" s="74"/>
      <c r="BS7" s="74"/>
      <c r="BT7" s="74"/>
      <c r="BU7" s="74"/>
      <c r="BV7" s="74"/>
      <c r="BW7" s="74"/>
      <c r="BX7" s="74"/>
      <c r="BY7" s="74"/>
      <c r="BZ7" s="74"/>
      <c r="CA7" s="74"/>
      <c r="CB7" s="74"/>
      <c r="CC7" s="74"/>
    </row>
    <row r="8" spans="1:92" ht="4.95" customHeight="1" x14ac:dyDescent="0.3">
      <c r="A8" s="31"/>
      <c r="B8" s="10"/>
      <c r="C8" s="10"/>
      <c r="D8" s="10"/>
      <c r="E8" s="10"/>
      <c r="F8" s="10"/>
      <c r="G8" s="10"/>
      <c r="H8" s="10"/>
      <c r="I8" s="10"/>
      <c r="J8" s="10"/>
      <c r="K8" s="10"/>
      <c r="L8" s="10"/>
      <c r="M8" s="10"/>
      <c r="N8" s="10"/>
      <c r="O8" s="10"/>
      <c r="P8" s="10"/>
      <c r="Q8" s="10"/>
      <c r="R8" s="10"/>
      <c r="S8" s="10"/>
      <c r="T8" s="10"/>
      <c r="U8" s="10"/>
      <c r="V8" s="10"/>
      <c r="W8" s="10"/>
      <c r="X8" s="10"/>
      <c r="Y8" s="10"/>
      <c r="Z8" s="32"/>
      <c r="AA8" s="12"/>
      <c r="AB8" s="12"/>
      <c r="AC8" s="12"/>
      <c r="AD8" s="12"/>
      <c r="AE8" s="10"/>
      <c r="AF8" s="10"/>
      <c r="AG8" s="10"/>
      <c r="AH8" s="12"/>
      <c r="AI8" s="12"/>
      <c r="AJ8" s="12"/>
      <c r="AK8" s="33"/>
      <c r="AL8" s="82"/>
      <c r="AM8" s="82"/>
      <c r="AN8" s="82"/>
      <c r="AO8" s="82"/>
    </row>
    <row r="9" spans="1:92" ht="15" customHeight="1" x14ac:dyDescent="0.3">
      <c r="A9" s="31"/>
      <c r="B9" s="10" t="s">
        <v>22</v>
      </c>
      <c r="C9" s="10"/>
      <c r="D9" s="10"/>
      <c r="E9" s="10"/>
      <c r="F9" s="10"/>
      <c r="G9" s="84"/>
      <c r="H9" s="10" t="s">
        <v>132</v>
      </c>
      <c r="I9" s="10"/>
      <c r="J9" s="10"/>
      <c r="K9" s="10"/>
      <c r="L9" s="10"/>
      <c r="M9" s="10"/>
      <c r="N9" s="84"/>
      <c r="O9" s="10" t="s">
        <v>133</v>
      </c>
      <c r="P9" s="10"/>
      <c r="Q9" s="10"/>
      <c r="R9" s="10"/>
      <c r="S9" s="10"/>
      <c r="T9" s="10"/>
      <c r="U9" s="10"/>
      <c r="V9" s="10"/>
      <c r="W9" s="84"/>
      <c r="X9" s="10" t="s">
        <v>134</v>
      </c>
      <c r="Y9" s="10"/>
      <c r="Z9" s="10"/>
      <c r="AA9" s="10"/>
      <c r="AB9" s="10"/>
      <c r="AC9" s="10"/>
      <c r="AD9" s="84"/>
      <c r="AE9" s="10" t="s">
        <v>135</v>
      </c>
      <c r="AF9" s="85"/>
      <c r="AG9" s="10"/>
      <c r="AH9" s="10"/>
      <c r="AI9" s="10"/>
      <c r="AJ9" s="10"/>
      <c r="AK9" s="33"/>
      <c r="AL9" s="82"/>
      <c r="AM9" s="82"/>
      <c r="AN9" s="82"/>
      <c r="AO9" s="82"/>
      <c r="AQ9" s="116" t="s">
        <v>124</v>
      </c>
      <c r="AR9" s="116"/>
      <c r="AS9" s="116"/>
      <c r="AT9" s="116"/>
      <c r="AU9" s="112"/>
      <c r="AV9" s="112"/>
      <c r="AW9" s="112"/>
      <c r="AX9" s="112"/>
      <c r="AY9" s="112"/>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row>
    <row r="10" spans="1:92" ht="15" customHeight="1" x14ac:dyDescent="0.3">
      <c r="A10" s="31"/>
      <c r="B10" s="12" t="s">
        <v>212</v>
      </c>
      <c r="C10" s="10"/>
      <c r="D10" s="81"/>
      <c r="E10" s="32"/>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33"/>
      <c r="AL10" s="82"/>
      <c r="AM10" s="82"/>
      <c r="AN10" s="82"/>
      <c r="AO10" s="82"/>
      <c r="AQ10" s="117">
        <v>1</v>
      </c>
      <c r="AR10" s="11" t="s">
        <v>467</v>
      </c>
      <c r="AU10" s="112"/>
      <c r="AV10" s="112"/>
      <c r="AW10" s="112"/>
      <c r="AX10" s="112"/>
      <c r="AY10" s="112"/>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row>
    <row r="11" spans="1:92" ht="4.95" customHeight="1" x14ac:dyDescent="0.3">
      <c r="A11" s="37"/>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38"/>
      <c r="AL11" s="82"/>
      <c r="AM11" s="82"/>
      <c r="AN11" s="82"/>
      <c r="AO11" s="82"/>
      <c r="AQ11" s="117"/>
      <c r="AR11" s="117"/>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row>
    <row r="12" spans="1:92" ht="13.95" customHeight="1" x14ac:dyDescent="0.3">
      <c r="B12" s="1" t="s">
        <v>0</v>
      </c>
      <c r="C12" s="1"/>
      <c r="D12" s="1"/>
      <c r="E12" s="1"/>
      <c r="F12" s="1"/>
      <c r="G12" s="1"/>
      <c r="H12" s="1"/>
      <c r="I12" s="1"/>
      <c r="AD12" s="2"/>
      <c r="AQ12" s="117">
        <v>2</v>
      </c>
      <c r="AR12" s="112" t="s">
        <v>468</v>
      </c>
      <c r="AS12" s="112"/>
      <c r="AT12" s="112"/>
      <c r="AU12" s="112"/>
      <c r="AV12" s="112"/>
      <c r="AW12" s="112"/>
      <c r="AX12" s="112"/>
      <c r="AY12" s="112"/>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row>
    <row r="13" spans="1:92" ht="13.95" customHeight="1" x14ac:dyDescent="0.3">
      <c r="D13" s="2" t="s">
        <v>144</v>
      </c>
      <c r="E13" s="155"/>
      <c r="F13" s="155"/>
      <c r="G13" s="155"/>
      <c r="H13" s="155"/>
      <c r="I13" s="155"/>
      <c r="J13" s="155"/>
      <c r="K13" s="155"/>
      <c r="L13" s="155"/>
      <c r="M13" s="155"/>
      <c r="N13" s="155"/>
      <c r="O13" s="155"/>
      <c r="P13" s="155"/>
      <c r="Q13" s="155"/>
      <c r="R13" s="155"/>
      <c r="S13" s="155"/>
      <c r="T13" s="155"/>
      <c r="U13" s="155"/>
      <c r="V13" s="155"/>
      <c r="W13" s="155"/>
      <c r="X13" s="155"/>
      <c r="AD13" s="2" t="s">
        <v>21</v>
      </c>
      <c r="AE13" s="151"/>
      <c r="AF13" s="151"/>
      <c r="AG13" s="151"/>
      <c r="AH13" s="151"/>
      <c r="AI13" s="151"/>
      <c r="AJ13" s="151"/>
      <c r="AQ13" s="117"/>
      <c r="AR13" s="112" t="s">
        <v>469</v>
      </c>
      <c r="AS13" s="112"/>
      <c r="AT13" s="112"/>
      <c r="AU13" s="112"/>
      <c r="AV13" s="112"/>
      <c r="AW13" s="112"/>
      <c r="AX13" s="112"/>
      <c r="AY13" s="112"/>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row>
    <row r="14" spans="1:92" ht="13.95" customHeight="1" x14ac:dyDescent="0.3">
      <c r="D14" s="2" t="s">
        <v>145</v>
      </c>
      <c r="E14" s="167"/>
      <c r="F14" s="167"/>
      <c r="G14" s="167"/>
      <c r="H14" s="167"/>
      <c r="I14" s="167"/>
      <c r="J14" s="167"/>
      <c r="K14" s="167"/>
      <c r="L14" s="167"/>
      <c r="M14" s="167"/>
      <c r="N14" s="167"/>
      <c r="O14" s="167"/>
      <c r="P14" s="167"/>
      <c r="Q14" s="167"/>
      <c r="R14" s="167"/>
      <c r="S14" s="167"/>
      <c r="T14" s="167"/>
      <c r="U14" s="167"/>
      <c r="V14" s="167"/>
      <c r="W14" s="167"/>
      <c r="X14" s="167"/>
      <c r="AD14" s="2" t="s">
        <v>35</v>
      </c>
      <c r="AE14" s="152"/>
      <c r="AF14" s="152"/>
      <c r="AG14" s="152"/>
      <c r="AH14" s="152"/>
      <c r="AI14" s="152"/>
      <c r="AJ14" s="152"/>
      <c r="AQ14" s="117">
        <v>3</v>
      </c>
      <c r="AR14" s="112" t="s">
        <v>403</v>
      </c>
      <c r="AU14" s="112"/>
      <c r="AV14" s="112"/>
      <c r="AW14" s="112"/>
      <c r="AX14" s="112"/>
      <c r="AY14" s="112"/>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row>
    <row r="15" spans="1:92" ht="4.95"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86"/>
      <c r="AM15" s="86"/>
      <c r="AN15" s="86"/>
      <c r="AO15" s="86"/>
      <c r="AQ15" s="117"/>
      <c r="AR15" s="117"/>
      <c r="AU15" s="112"/>
      <c r="AV15" s="112"/>
      <c r="AW15" s="112"/>
      <c r="AX15" s="112"/>
      <c r="AY15" s="112"/>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row>
    <row r="16" spans="1:92" ht="13.95" customHeight="1" x14ac:dyDescent="0.3">
      <c r="E16" s="2" t="s">
        <v>216</v>
      </c>
      <c r="F16" s="70"/>
      <c r="G16" s="39" t="s">
        <v>138</v>
      </c>
      <c r="N16" s="70"/>
      <c r="O16" s="39" t="s">
        <v>139</v>
      </c>
      <c r="W16" s="70"/>
      <c r="X16" s="39" t="s">
        <v>140</v>
      </c>
      <c r="AR16" s="112" t="str">
        <f>"Hydrology for Small Watersheds Technical Release 55 (TR-55) or equivalent as approved by the "&amp;Tables!$C$23&amp;" Engineer;"</f>
        <v>Hydrology for Small Watersheds Technical Release 55 (TR-55) or equivalent as approved by the City Engineer;</v>
      </c>
      <c r="AS16" s="112"/>
      <c r="AT16" s="112"/>
      <c r="AU16" s="112"/>
      <c r="AV16" s="112"/>
      <c r="AW16" s="112"/>
      <c r="AX16" s="112"/>
      <c r="AY16" s="112"/>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row>
    <row r="17" spans="2:78" ht="4.95" customHeight="1" x14ac:dyDescent="0.3">
      <c r="C17" s="2"/>
      <c r="D17" s="2"/>
      <c r="E17" s="2"/>
      <c r="F17" s="2"/>
      <c r="G17" s="2"/>
      <c r="H17" s="2"/>
      <c r="I17" s="2"/>
      <c r="AQ17" s="117"/>
      <c r="AS17" s="112"/>
      <c r="AT17" s="112"/>
      <c r="AU17" s="112"/>
      <c r="AV17" s="112"/>
      <c r="AW17" s="112"/>
      <c r="AX17" s="112"/>
      <c r="AY17" s="112"/>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row>
    <row r="18" spans="2:78" ht="13.95" customHeight="1" x14ac:dyDescent="0.3">
      <c r="C18" s="2"/>
      <c r="D18" s="2"/>
      <c r="E18" s="2"/>
      <c r="F18" s="70"/>
      <c r="G18" s="39" t="s">
        <v>226</v>
      </c>
      <c r="N18" s="70"/>
      <c r="O18" s="39" t="s">
        <v>264</v>
      </c>
      <c r="W18" s="70"/>
      <c r="X18" s="39" t="s">
        <v>227</v>
      </c>
      <c r="AQ18" s="117">
        <v>4</v>
      </c>
      <c r="AR18" s="112" t="s">
        <v>404</v>
      </c>
      <c r="AS18" s="112"/>
      <c r="AT18" s="112"/>
      <c r="AU18" s="112"/>
      <c r="AV18" s="112"/>
      <c r="AW18" s="112"/>
      <c r="AX18" s="112"/>
      <c r="AY18" s="112"/>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row>
    <row r="19" spans="2:78" ht="4.95" customHeight="1" x14ac:dyDescent="0.3">
      <c r="C19" s="2"/>
      <c r="D19" s="2"/>
      <c r="E19" s="2"/>
      <c r="F19" s="2"/>
      <c r="G19" s="2"/>
      <c r="H19" s="2"/>
      <c r="I19" s="2"/>
      <c r="AQ19" s="117"/>
      <c r="AR19" s="112"/>
      <c r="AS19" s="112"/>
      <c r="AT19" s="112"/>
      <c r="AU19" s="112"/>
      <c r="AV19" s="112"/>
      <c r="AW19" s="112"/>
      <c r="AX19" s="112"/>
      <c r="AY19" s="112"/>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row>
    <row r="20" spans="2:78" ht="13.95" customHeight="1" x14ac:dyDescent="0.3">
      <c r="D20" s="2"/>
      <c r="E20" s="2"/>
      <c r="F20" s="2"/>
      <c r="H20" s="2" t="s">
        <v>51</v>
      </c>
      <c r="I20" s="2"/>
      <c r="J20" s="157"/>
      <c r="K20" s="157"/>
      <c r="L20" s="157"/>
      <c r="M20" s="157"/>
      <c r="N20" s="39" t="s">
        <v>37</v>
      </c>
      <c r="AR20" s="112" t="str">
        <f>"development hydrology for the "&amp;Tables!C28&amp;"-year, 24-hour rainfall depths;"</f>
        <v>development hydrology for the 2, 5, 10, and 25-year, 24-hour rainfall depths;</v>
      </c>
      <c r="AS20" s="112"/>
      <c r="AT20" s="112"/>
      <c r="AU20" s="112"/>
      <c r="AV20" s="112"/>
      <c r="AW20" s="112"/>
      <c r="AX20" s="112"/>
      <c r="AY20" s="112"/>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row>
    <row r="21" spans="2:78" ht="13.95" customHeight="1" x14ac:dyDescent="0.3">
      <c r="B21" s="39" t="s">
        <v>2</v>
      </c>
      <c r="Z21" s="2" t="s">
        <v>36</v>
      </c>
      <c r="AA21" s="157"/>
      <c r="AB21" s="157"/>
      <c r="AC21" s="157"/>
      <c r="AD21" s="157"/>
      <c r="AE21" s="39" t="s">
        <v>37</v>
      </c>
      <c r="AQ21" s="117">
        <v>5</v>
      </c>
      <c r="AR21" s="39" t="s">
        <v>470</v>
      </c>
      <c r="AS21" s="112"/>
      <c r="AT21" s="112"/>
      <c r="AU21" s="112"/>
      <c r="AV21" s="112"/>
      <c r="AW21" s="112"/>
      <c r="AX21" s="112"/>
      <c r="AY21" s="112"/>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row>
    <row r="22" spans="2:78" ht="13.95" customHeight="1" x14ac:dyDescent="0.3">
      <c r="D22" s="2"/>
      <c r="E22" s="2"/>
      <c r="F22" s="2"/>
      <c r="G22" s="2"/>
      <c r="I22" s="2" t="s">
        <v>217</v>
      </c>
      <c r="J22" s="157"/>
      <c r="K22" s="157"/>
      <c r="L22" s="157"/>
      <c r="M22" s="157"/>
      <c r="N22" s="39" t="s">
        <v>37</v>
      </c>
      <c r="S22" s="39" t="s">
        <v>57</v>
      </c>
      <c r="AR22" s="39" t="s">
        <v>471</v>
      </c>
      <c r="AS22" s="112"/>
      <c r="AT22" s="112"/>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row>
    <row r="23" spans="2:78" ht="13.95" customHeight="1" x14ac:dyDescent="0.3">
      <c r="D23" s="2"/>
      <c r="E23" s="2"/>
      <c r="F23" s="2"/>
      <c r="G23" s="2"/>
      <c r="I23" s="2" t="s">
        <v>218</v>
      </c>
      <c r="J23" s="153"/>
      <c r="K23" s="153"/>
      <c r="L23" s="153"/>
      <c r="M23" s="153"/>
      <c r="N23" s="39" t="s">
        <v>37</v>
      </c>
      <c r="V23" s="2" t="s">
        <v>58</v>
      </c>
      <c r="W23" s="166">
        <f>IF(AL23=1,"0.00",IFERROR(IF($J$27-$AA$21&lt;0,0,$J$27-$AA$21),""))</f>
        <v>0</v>
      </c>
      <c r="X23" s="166"/>
      <c r="Y23" s="166"/>
      <c r="Z23" s="166"/>
      <c r="AA23" s="39" t="s">
        <v>37</v>
      </c>
      <c r="AL23" s="123">
        <f>IF(AND(J27=0,ISBLANK(AA21)),0,IF(OR(J27-AA21=0,J27-AA21&lt;0),1,2))</f>
        <v>0</v>
      </c>
      <c r="AQ23" s="117"/>
      <c r="AR23" s="39" t="s">
        <v>472</v>
      </c>
      <c r="AS23" s="112"/>
      <c r="AT23" s="112"/>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row>
    <row r="24" spans="2:78" ht="13.95" customHeight="1" x14ac:dyDescent="0.3">
      <c r="D24" s="2"/>
      <c r="E24" s="2"/>
      <c r="F24" s="2"/>
      <c r="G24" s="2"/>
      <c r="I24" s="2" t="s">
        <v>219</v>
      </c>
      <c r="J24" s="153"/>
      <c r="K24" s="153"/>
      <c r="L24" s="153"/>
      <c r="M24" s="153"/>
      <c r="N24" s="39" t="s">
        <v>37</v>
      </c>
      <c r="S24" s="39" t="s">
        <v>38</v>
      </c>
      <c r="AQ24" s="117">
        <v>6</v>
      </c>
      <c r="AR24" s="39" t="s">
        <v>405</v>
      </c>
      <c r="AT24" s="112"/>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row>
    <row r="25" spans="2:78" ht="13.95" customHeight="1" x14ac:dyDescent="0.3">
      <c r="D25" s="2"/>
      <c r="E25" s="2"/>
      <c r="F25" s="2"/>
      <c r="G25" s="2"/>
      <c r="I25" s="2" t="s">
        <v>220</v>
      </c>
      <c r="J25" s="153"/>
      <c r="K25" s="153"/>
      <c r="L25" s="153"/>
      <c r="M25" s="153"/>
      <c r="N25" s="39" t="s">
        <v>37</v>
      </c>
      <c r="V25" s="2" t="s">
        <v>40</v>
      </c>
      <c r="W25" s="39" t="str">
        <f>"AIA acres X "&amp;Tables!D15&amp; " in X 3,630"</f>
        <v>AIA acres X 1.10 in X 3,630</v>
      </c>
      <c r="AR25" s="39" t="s">
        <v>406</v>
      </c>
      <c r="AT25" s="112"/>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row>
    <row r="26" spans="2:78" ht="13.95" customHeight="1" thickBot="1" x14ac:dyDescent="0.35">
      <c r="D26" s="2"/>
      <c r="E26" s="2"/>
      <c r="F26" s="2"/>
      <c r="G26" s="2"/>
      <c r="I26" s="2" t="s">
        <v>221</v>
      </c>
      <c r="J26" s="165"/>
      <c r="K26" s="165"/>
      <c r="L26" s="165"/>
      <c r="M26" s="165"/>
      <c r="N26" s="39" t="s">
        <v>37</v>
      </c>
      <c r="V26" s="2" t="s">
        <v>40</v>
      </c>
      <c r="W26" s="166">
        <f>IF(AL23=1,"0.00",IFERROR(IF($J$27-$AA$21&lt;0,0,$J$27-$AA$21),""))</f>
        <v>0</v>
      </c>
      <c r="X26" s="166"/>
      <c r="Y26" s="166"/>
      <c r="Z26" s="166"/>
      <c r="AA26" s="39" t="str">
        <f>"acres X "&amp;Tables!D15&amp;" in X 3,630"</f>
        <v>acres X 1.10 in X 3,630</v>
      </c>
      <c r="AQ26" s="117">
        <v>7</v>
      </c>
      <c r="AR26" s="39" t="s">
        <v>473</v>
      </c>
      <c r="AU26" s="112"/>
      <c r="AV26" s="112"/>
      <c r="AW26" s="112"/>
      <c r="AX26" s="112"/>
      <c r="AY26" s="112"/>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row>
    <row r="27" spans="2:78" ht="13.95" customHeight="1" thickTop="1" x14ac:dyDescent="0.3">
      <c r="D27" s="2"/>
      <c r="E27" s="2"/>
      <c r="F27" s="2"/>
      <c r="G27" s="2"/>
      <c r="I27" s="2" t="s">
        <v>222</v>
      </c>
      <c r="J27" s="166">
        <f>IF(SUM($J$22:$J$26)=0,0,SUM($J$22:$J$26))</f>
        <v>0</v>
      </c>
      <c r="K27" s="166"/>
      <c r="L27" s="166"/>
      <c r="M27" s="166"/>
      <c r="N27" s="39" t="s">
        <v>37</v>
      </c>
      <c r="V27" s="2" t="s">
        <v>40</v>
      </c>
      <c r="W27" s="159">
        <f>IF(AL23=1,"0",IFERROR(ROUND(IF(($J$27-$AA$21)*Tables!C15*3630&lt;0,0,($J$27-$AA$21)*Tables!C15*3630),0),""))</f>
        <v>0</v>
      </c>
      <c r="X27" s="159"/>
      <c r="Y27" s="159"/>
      <c r="Z27" s="159"/>
      <c r="AA27" s="39" t="s">
        <v>39</v>
      </c>
      <c r="AR27" s="39" t="s">
        <v>407</v>
      </c>
      <c r="AU27" s="112"/>
      <c r="AV27" s="112"/>
      <c r="AW27" s="112"/>
      <c r="AX27" s="112"/>
      <c r="AY27" s="112"/>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row>
    <row r="28" spans="2:78" ht="4.95" customHeight="1" x14ac:dyDescent="0.3">
      <c r="AU28" s="112"/>
      <c r="AV28" s="112"/>
      <c r="AW28" s="112"/>
      <c r="AX28" s="112"/>
      <c r="AY28" s="112"/>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row>
    <row r="29" spans="2:78" ht="13.95" customHeight="1" x14ac:dyDescent="0.3">
      <c r="B29" s="1" t="s">
        <v>3</v>
      </c>
      <c r="C29" s="1"/>
      <c r="D29" s="1"/>
      <c r="E29" s="1"/>
      <c r="F29" s="1"/>
      <c r="G29" s="1"/>
      <c r="H29" s="1"/>
      <c r="I29" s="1"/>
      <c r="O29" s="2" t="s">
        <v>228</v>
      </c>
      <c r="P29" s="70"/>
      <c r="Q29" s="39" t="s">
        <v>229</v>
      </c>
      <c r="S29" s="70"/>
      <c r="T29" s="39" t="s">
        <v>230</v>
      </c>
      <c r="V29" s="70"/>
      <c r="W29" s="39" t="s">
        <v>231</v>
      </c>
      <c r="Y29" s="70"/>
      <c r="Z29" s="39" t="s">
        <v>232</v>
      </c>
      <c r="AL29" s="124">
        <f>IF(AND(ISBLANK(P29),ISBLANK(S29),ISBLANK(V29),ISBLANK(Y29)),1,2)</f>
        <v>1</v>
      </c>
      <c r="AQ29" s="117">
        <v>8</v>
      </c>
      <c r="AR29" s="112" t="s">
        <v>474</v>
      </c>
      <c r="AS29" s="112"/>
      <c r="AU29" s="112"/>
      <c r="AV29" s="112"/>
      <c r="AW29" s="112"/>
      <c r="AX29" s="112"/>
      <c r="AY29" s="112"/>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row>
    <row r="30" spans="2:78" s="13" customFormat="1" ht="15" hidden="1" customHeight="1" x14ac:dyDescent="0.3">
      <c r="B30" s="87"/>
      <c r="C30" s="87"/>
      <c r="D30" s="87"/>
      <c r="E30" s="87"/>
      <c r="F30" s="87"/>
      <c r="G30" s="87"/>
      <c r="H30" s="87"/>
      <c r="I30" s="87"/>
      <c r="L30" s="123">
        <f>IF(ISBLANK(L31),1,2)</f>
        <v>1</v>
      </c>
      <c r="P30" s="123">
        <f>IF(ISBLANK(P31),1,2)</f>
        <v>1</v>
      </c>
      <c r="T30" s="123">
        <f>IF(ISBLANK(T31),1,2)</f>
        <v>1</v>
      </c>
      <c r="X30" s="123">
        <f>IF(ISBLANK(X31),1,2)</f>
        <v>1</v>
      </c>
      <c r="AB30" s="123">
        <f>IF(ISBLANK(AB31),1,2)</f>
        <v>1</v>
      </c>
      <c r="AQ30" s="39"/>
      <c r="AR30" s="112" t="s">
        <v>408</v>
      </c>
      <c r="AS30" s="112"/>
      <c r="AT30" s="39"/>
      <c r="AU30" s="112"/>
      <c r="AV30" s="112"/>
      <c r="AW30" s="112"/>
      <c r="AX30" s="112"/>
      <c r="AY30" s="112"/>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row>
    <row r="31" spans="2:78" ht="13.95" customHeight="1" x14ac:dyDescent="0.3">
      <c r="I31" s="2"/>
      <c r="J31" s="2" t="s">
        <v>50</v>
      </c>
      <c r="K31" s="2"/>
      <c r="L31" s="163"/>
      <c r="M31" s="163"/>
      <c r="N31" s="163"/>
      <c r="P31" s="163"/>
      <c r="Q31" s="163"/>
      <c r="R31" s="163"/>
      <c r="T31" s="163"/>
      <c r="U31" s="163"/>
      <c r="V31" s="163"/>
      <c r="W31" s="4"/>
      <c r="X31" s="163"/>
      <c r="Y31" s="163"/>
      <c r="Z31" s="163"/>
      <c r="AB31" s="163"/>
      <c r="AC31" s="163"/>
      <c r="AD31" s="163"/>
      <c r="AE31" s="4"/>
      <c r="AF31" s="143" t="s">
        <v>13</v>
      </c>
      <c r="AG31" s="143"/>
      <c r="AH31" s="143"/>
      <c r="AI31" s="4"/>
      <c r="AJ31" s="4"/>
      <c r="AQ31" s="117"/>
      <c r="AR31" s="112" t="s">
        <v>409</v>
      </c>
      <c r="AS31" s="112"/>
      <c r="AT31" s="112"/>
      <c r="AU31" s="112"/>
      <c r="AV31" s="112"/>
      <c r="AW31" s="112"/>
      <c r="AX31" s="112"/>
      <c r="AY31" s="112"/>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row>
    <row r="32" spans="2:78" ht="13.95" customHeight="1" x14ac:dyDescent="0.3">
      <c r="I32" s="2"/>
      <c r="J32" s="2" t="s">
        <v>141</v>
      </c>
      <c r="K32" s="2"/>
      <c r="L32" s="153"/>
      <c r="M32" s="153"/>
      <c r="N32" s="153"/>
      <c r="P32" s="153"/>
      <c r="Q32" s="153"/>
      <c r="R32" s="153"/>
      <c r="T32" s="153"/>
      <c r="U32" s="153"/>
      <c r="V32" s="153"/>
      <c r="W32" s="4"/>
      <c r="X32" s="153"/>
      <c r="Y32" s="153"/>
      <c r="Z32" s="153"/>
      <c r="AB32" s="153"/>
      <c r="AC32" s="153"/>
      <c r="AD32" s="153"/>
      <c r="AE32" s="4"/>
      <c r="AF32" s="157"/>
      <c r="AG32" s="157"/>
      <c r="AH32" s="157"/>
      <c r="AI32" s="4"/>
      <c r="AJ32" s="4"/>
      <c r="AQ32" s="117">
        <v>9</v>
      </c>
      <c r="AR32" s="112" t="s">
        <v>475</v>
      </c>
      <c r="AS32" s="112"/>
      <c r="AT32" s="112"/>
      <c r="AU32" s="112"/>
      <c r="AV32" s="112"/>
      <c r="AW32" s="112"/>
      <c r="AX32" s="112"/>
      <c r="AY32" s="112"/>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row>
    <row r="33" spans="2:78" ht="13.95" customHeight="1" x14ac:dyDescent="0.3">
      <c r="I33" s="2"/>
      <c r="J33" s="2" t="s">
        <v>4</v>
      </c>
      <c r="K33" s="2"/>
      <c r="L33" s="149"/>
      <c r="M33" s="149"/>
      <c r="N33" s="149"/>
      <c r="P33" s="164"/>
      <c r="Q33" s="164"/>
      <c r="R33" s="164"/>
      <c r="S33" s="88"/>
      <c r="T33" s="164"/>
      <c r="U33" s="164"/>
      <c r="V33" s="164"/>
      <c r="W33" s="4"/>
      <c r="X33" s="164"/>
      <c r="Y33" s="164"/>
      <c r="Z33" s="164"/>
      <c r="AB33" s="164"/>
      <c r="AC33" s="164"/>
      <c r="AD33" s="164"/>
      <c r="AE33" s="4"/>
      <c r="AF33" s="164"/>
      <c r="AG33" s="164"/>
      <c r="AH33" s="164"/>
      <c r="AI33" s="4"/>
      <c r="AJ33" s="4"/>
      <c r="AR33" s="112" t="s">
        <v>410</v>
      </c>
      <c r="AS33" s="112"/>
      <c r="AT33" s="112"/>
      <c r="AU33" s="112"/>
      <c r="AV33" s="112"/>
      <c r="AW33" s="112"/>
      <c r="AX33" s="112"/>
      <c r="AY33" s="112"/>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row>
    <row r="34" spans="2:78" ht="13.95" customHeight="1" x14ac:dyDescent="0.3">
      <c r="I34" s="2"/>
      <c r="J34" s="2" t="s">
        <v>56</v>
      </c>
      <c r="K34" s="2"/>
      <c r="L34" s="150"/>
      <c r="M34" s="150"/>
      <c r="N34" s="150"/>
      <c r="P34" s="154"/>
      <c r="Q34" s="154"/>
      <c r="R34" s="154"/>
      <c r="S34" s="41"/>
      <c r="T34" s="154"/>
      <c r="U34" s="154"/>
      <c r="V34" s="154"/>
      <c r="W34" s="4"/>
      <c r="X34" s="154"/>
      <c r="Y34" s="154"/>
      <c r="Z34" s="154"/>
      <c r="AB34" s="154"/>
      <c r="AC34" s="154"/>
      <c r="AD34" s="154"/>
      <c r="AE34" s="4"/>
      <c r="AF34" s="154"/>
      <c r="AG34" s="154"/>
      <c r="AH34" s="154"/>
      <c r="AI34" s="4"/>
      <c r="AJ34" s="4"/>
      <c r="AL34" s="128">
        <f>SUM(AL35:AL40)</f>
        <v>0</v>
      </c>
      <c r="AM34" s="124">
        <f>SUM(AM35:AM40)</f>
        <v>0</v>
      </c>
      <c r="AN34" s="13" t="s">
        <v>13</v>
      </c>
      <c r="AQ34" s="117"/>
      <c r="AR34" s="112" t="s">
        <v>411</v>
      </c>
      <c r="AS34" s="112"/>
      <c r="AT34" s="112"/>
      <c r="AU34" s="112"/>
      <c r="AV34" s="112"/>
      <c r="AW34" s="112"/>
      <c r="AX34" s="112"/>
      <c r="AY34" s="112"/>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row>
    <row r="35" spans="2:78" ht="13.95" customHeight="1" x14ac:dyDescent="0.3">
      <c r="D35" s="141" t="s">
        <v>485</v>
      </c>
      <c r="E35" s="141"/>
      <c r="F35" s="158">
        <f>Tables!$C$16</f>
        <v>4.21</v>
      </c>
      <c r="G35" s="158"/>
      <c r="H35" s="41"/>
      <c r="J35" s="2" t="str">
        <f>Tables!$A$16</f>
        <v>(2-yr)</v>
      </c>
      <c r="K35" s="2"/>
      <c r="L35" s="157"/>
      <c r="M35" s="157"/>
      <c r="N35" s="157"/>
      <c r="P35" s="157"/>
      <c r="Q35" s="157"/>
      <c r="R35" s="157"/>
      <c r="S35" s="46"/>
      <c r="T35" s="157"/>
      <c r="U35" s="157"/>
      <c r="V35" s="157"/>
      <c r="W35" s="4"/>
      <c r="X35" s="157"/>
      <c r="Y35" s="157"/>
      <c r="Z35" s="157"/>
      <c r="AB35" s="157"/>
      <c r="AC35" s="157"/>
      <c r="AD35" s="157"/>
      <c r="AE35" s="4"/>
      <c r="AF35" s="157"/>
      <c r="AG35" s="157"/>
      <c r="AH35" s="157"/>
      <c r="AI35" s="4"/>
      <c r="AJ35" s="4"/>
      <c r="AL35" s="124"/>
      <c r="AM35" s="124">
        <f t="shared" ref="AM35:AM40" si="0">IF(ISBLANK(AF35),0,1)</f>
        <v>0</v>
      </c>
      <c r="AQ35" s="117"/>
      <c r="AR35" s="112" t="s">
        <v>412</v>
      </c>
      <c r="AS35" s="112"/>
      <c r="AT35" s="112"/>
      <c r="AU35" s="112"/>
      <c r="AV35" s="112"/>
      <c r="AW35" s="112"/>
      <c r="AX35" s="112"/>
      <c r="AY35" s="112"/>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row>
    <row r="36" spans="2:78" ht="13.95" customHeight="1" x14ac:dyDescent="0.3">
      <c r="D36" s="141"/>
      <c r="E36" s="141"/>
      <c r="F36" s="158">
        <f>Tables!$C$17</f>
        <v>5.24</v>
      </c>
      <c r="G36" s="158"/>
      <c r="H36" s="41"/>
      <c r="J36" s="2" t="str">
        <f>Tables!$A$17</f>
        <v>(5-yr)</v>
      </c>
      <c r="K36" s="2"/>
      <c r="L36" s="157"/>
      <c r="M36" s="157"/>
      <c r="N36" s="157"/>
      <c r="P36" s="157"/>
      <c r="Q36" s="157"/>
      <c r="R36" s="157"/>
      <c r="S36" s="46"/>
      <c r="T36" s="153"/>
      <c r="U36" s="153"/>
      <c r="V36" s="153"/>
      <c r="W36" s="4"/>
      <c r="X36" s="153"/>
      <c r="Y36" s="153"/>
      <c r="Z36" s="153"/>
      <c r="AB36" s="153"/>
      <c r="AC36" s="153"/>
      <c r="AD36" s="153"/>
      <c r="AE36" s="4"/>
      <c r="AF36" s="153"/>
      <c r="AG36" s="153"/>
      <c r="AH36" s="153"/>
      <c r="AI36" s="4"/>
      <c r="AJ36" s="4"/>
      <c r="AL36" s="124">
        <f t="shared" ref="AL36:AL40" si="1">IF(AF36=0,0,1)</f>
        <v>0</v>
      </c>
      <c r="AM36" s="124">
        <f t="shared" si="0"/>
        <v>0</v>
      </c>
      <c r="AQ36" s="117">
        <v>10</v>
      </c>
      <c r="AR36" s="112" t="s">
        <v>413</v>
      </c>
      <c r="AS36" s="112"/>
      <c r="AT36" s="112"/>
      <c r="AU36" s="112"/>
      <c r="AV36" s="112"/>
      <c r="AW36" s="112"/>
      <c r="AX36" s="112"/>
      <c r="AY36" s="112"/>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row>
    <row r="37" spans="2:78" ht="13.95" customHeight="1" x14ac:dyDescent="0.3">
      <c r="D37" s="141"/>
      <c r="E37" s="141"/>
      <c r="F37" s="158">
        <f>Tables!$C$18</f>
        <v>6.17</v>
      </c>
      <c r="G37" s="158"/>
      <c r="H37" s="41"/>
      <c r="J37" s="2" t="str">
        <f>Tables!$A$18</f>
        <v>(10-yr)</v>
      </c>
      <c r="K37" s="2"/>
      <c r="L37" s="157"/>
      <c r="M37" s="157"/>
      <c r="N37" s="157"/>
      <c r="P37" s="153"/>
      <c r="Q37" s="153"/>
      <c r="R37" s="153"/>
      <c r="S37" s="46"/>
      <c r="T37" s="153"/>
      <c r="U37" s="153"/>
      <c r="V37" s="153"/>
      <c r="W37" s="4"/>
      <c r="X37" s="153"/>
      <c r="Y37" s="153"/>
      <c r="Z37" s="153"/>
      <c r="AB37" s="153"/>
      <c r="AC37" s="153"/>
      <c r="AD37" s="153"/>
      <c r="AE37" s="4"/>
      <c r="AF37" s="153"/>
      <c r="AG37" s="153"/>
      <c r="AH37" s="153"/>
      <c r="AI37" s="4"/>
      <c r="AJ37" s="4"/>
      <c r="AL37" s="124">
        <f t="shared" si="1"/>
        <v>0</v>
      </c>
      <c r="AM37" s="124">
        <f t="shared" si="0"/>
        <v>0</v>
      </c>
      <c r="AR37" s="112" t="s">
        <v>414</v>
      </c>
      <c r="AS37" s="112"/>
      <c r="AT37" s="112"/>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row>
    <row r="38" spans="2:78" ht="13.95" customHeight="1" x14ac:dyDescent="0.3">
      <c r="D38" s="141"/>
      <c r="E38" s="141"/>
      <c r="F38" s="158">
        <f>Tables!$C$19</f>
        <v>7.55</v>
      </c>
      <c r="G38" s="158"/>
      <c r="H38" s="41"/>
      <c r="J38" s="2" t="str">
        <f>Tables!$A$19</f>
        <v>(25-yr)</v>
      </c>
      <c r="K38" s="2"/>
      <c r="L38" s="157"/>
      <c r="M38" s="157"/>
      <c r="N38" s="157"/>
      <c r="P38" s="153"/>
      <c r="Q38" s="153"/>
      <c r="R38" s="153"/>
      <c r="S38" s="46"/>
      <c r="T38" s="153"/>
      <c r="U38" s="153"/>
      <c r="V38" s="153"/>
      <c r="W38" s="4"/>
      <c r="X38" s="153"/>
      <c r="Y38" s="153"/>
      <c r="Z38" s="153"/>
      <c r="AB38" s="153"/>
      <c r="AC38" s="153"/>
      <c r="AD38" s="153"/>
      <c r="AE38" s="4"/>
      <c r="AF38" s="153"/>
      <c r="AG38" s="153"/>
      <c r="AH38" s="153"/>
      <c r="AI38" s="4"/>
      <c r="AJ38" s="4"/>
      <c r="AL38" s="124">
        <f t="shared" si="1"/>
        <v>0</v>
      </c>
      <c r="AM38" s="124">
        <f t="shared" si="0"/>
        <v>0</v>
      </c>
      <c r="AQ38" s="117">
        <v>11</v>
      </c>
      <c r="AR38" s="39" t="s">
        <v>415</v>
      </c>
      <c r="AT38" s="112"/>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row>
    <row r="39" spans="2:78" ht="13.95" customHeight="1" x14ac:dyDescent="0.3">
      <c r="D39" s="141"/>
      <c r="E39" s="141"/>
      <c r="F39" s="158">
        <f>Tables!$C$20</f>
        <v>8.6999999999999993</v>
      </c>
      <c r="G39" s="158"/>
      <c r="H39" s="41"/>
      <c r="J39" s="2" t="str">
        <f>Tables!$A$20</f>
        <v>(50-yr)</v>
      </c>
      <c r="K39" s="2"/>
      <c r="L39" s="157"/>
      <c r="M39" s="157"/>
      <c r="N39" s="157"/>
      <c r="P39" s="153"/>
      <c r="Q39" s="153"/>
      <c r="R39" s="153"/>
      <c r="S39" s="46"/>
      <c r="T39" s="153"/>
      <c r="U39" s="153"/>
      <c r="V39" s="153"/>
      <c r="W39" s="4"/>
      <c r="X39" s="153"/>
      <c r="Y39" s="153"/>
      <c r="Z39" s="153"/>
      <c r="AB39" s="153"/>
      <c r="AC39" s="153"/>
      <c r="AD39" s="153"/>
      <c r="AE39" s="4"/>
      <c r="AF39" s="153"/>
      <c r="AG39" s="153"/>
      <c r="AH39" s="153"/>
      <c r="AI39" s="4"/>
      <c r="AJ39" s="4"/>
      <c r="AL39" s="124">
        <f t="shared" si="1"/>
        <v>0</v>
      </c>
      <c r="AM39" s="124">
        <f t="shared" si="0"/>
        <v>0</v>
      </c>
      <c r="AR39" s="39" t="s">
        <v>416</v>
      </c>
      <c r="AT39" s="112"/>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row>
    <row r="40" spans="2:78" ht="13.95" customHeight="1" x14ac:dyDescent="0.3">
      <c r="D40" s="141"/>
      <c r="E40" s="141"/>
      <c r="F40" s="158">
        <f>Tables!$C$21</f>
        <v>9.93</v>
      </c>
      <c r="G40" s="158"/>
      <c r="H40" s="41"/>
      <c r="J40" s="2" t="str">
        <f>Tables!$A$21</f>
        <v>(100-yr)</v>
      </c>
      <c r="K40" s="2"/>
      <c r="L40" s="157"/>
      <c r="M40" s="157"/>
      <c r="N40" s="157"/>
      <c r="P40" s="153"/>
      <c r="Q40" s="153"/>
      <c r="R40" s="153"/>
      <c r="S40" s="46"/>
      <c r="T40" s="153"/>
      <c r="U40" s="153"/>
      <c r="V40" s="153"/>
      <c r="W40" s="4"/>
      <c r="X40" s="153"/>
      <c r="Y40" s="153"/>
      <c r="Z40" s="153"/>
      <c r="AB40" s="153"/>
      <c r="AC40" s="153"/>
      <c r="AD40" s="153"/>
      <c r="AE40" s="4"/>
      <c r="AF40" s="153"/>
      <c r="AG40" s="153"/>
      <c r="AH40" s="153"/>
      <c r="AI40" s="4"/>
      <c r="AJ40" s="4"/>
      <c r="AL40" s="124">
        <f t="shared" si="1"/>
        <v>0</v>
      </c>
      <c r="AM40" s="124">
        <f t="shared" si="0"/>
        <v>0</v>
      </c>
      <c r="AQ40" s="117"/>
      <c r="AR40" s="4" t="s">
        <v>98</v>
      </c>
      <c r="AS40" s="39" t="s">
        <v>285</v>
      </c>
      <c r="AT40" s="112"/>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row>
    <row r="41" spans="2:78" ht="4.95" customHeight="1" x14ac:dyDescent="0.3">
      <c r="AL41" s="138"/>
      <c r="AM41" s="23"/>
      <c r="AQ41" s="117"/>
      <c r="AR41" s="4"/>
      <c r="AT41" s="112"/>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row>
    <row r="42" spans="2:78" ht="13.95" customHeight="1" x14ac:dyDescent="0.3">
      <c r="B42" s="1" t="s">
        <v>11</v>
      </c>
      <c r="C42" s="1"/>
      <c r="D42" s="1"/>
      <c r="E42" s="1"/>
      <c r="F42" s="1"/>
      <c r="G42" s="1"/>
      <c r="H42" s="1"/>
      <c r="I42" s="1"/>
      <c r="O42" s="2" t="s">
        <v>228</v>
      </c>
      <c r="P42" s="70"/>
      <c r="Q42" s="39" t="s">
        <v>229</v>
      </c>
      <c r="S42" s="70"/>
      <c r="T42" s="39" t="s">
        <v>230</v>
      </c>
      <c r="V42" s="70"/>
      <c r="W42" s="39" t="s">
        <v>231</v>
      </c>
      <c r="Y42" s="70"/>
      <c r="Z42" s="39" t="s">
        <v>232</v>
      </c>
      <c r="AL42" s="124">
        <f>IF(AND(ISBLANK(P42),ISBLANK(S42),ISBLANK(V42),ISBLANK(Y42)),1,2)</f>
        <v>1</v>
      </c>
      <c r="AQ42" s="117"/>
      <c r="AR42" s="117" t="s">
        <v>99</v>
      </c>
      <c r="AS42" s="39" t="s">
        <v>417</v>
      </c>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row>
    <row r="43" spans="2:78" s="13" customFormat="1" ht="15" hidden="1" customHeight="1" x14ac:dyDescent="0.3">
      <c r="B43" s="87"/>
      <c r="C43" s="87"/>
      <c r="D43" s="87"/>
      <c r="E43" s="87"/>
      <c r="F43" s="87"/>
      <c r="G43" s="87"/>
      <c r="H43" s="87"/>
      <c r="I43" s="87"/>
      <c r="L43" s="123">
        <f>IF(ISBLANK(L44),1,2)</f>
        <v>1</v>
      </c>
      <c r="P43" s="123">
        <f>IF(ISBLANK(P44),1,2)</f>
        <v>1</v>
      </c>
      <c r="T43" s="123">
        <f>IF(ISBLANK(T44),1,2)</f>
        <v>1</v>
      </c>
      <c r="X43" s="123">
        <f>IF(ISBLANK(X44),1,2)</f>
        <v>1</v>
      </c>
      <c r="AB43" s="123">
        <f>IF(ISBLANK(AB44),1,2)</f>
        <v>1</v>
      </c>
      <c r="AI43" s="4"/>
      <c r="AJ43" s="4"/>
      <c r="AK43" s="39"/>
      <c r="AQ43" s="117"/>
      <c r="AR43" s="39"/>
      <c r="AS43" s="39" t="s">
        <v>418</v>
      </c>
      <c r="AT43" s="39"/>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row>
    <row r="44" spans="2:78" ht="13.95" customHeight="1" x14ac:dyDescent="0.3">
      <c r="I44" s="2"/>
      <c r="J44" s="2" t="s">
        <v>50</v>
      </c>
      <c r="K44" s="2"/>
      <c r="L44" s="163"/>
      <c r="M44" s="163"/>
      <c r="N44" s="163"/>
      <c r="P44" s="163"/>
      <c r="Q44" s="163"/>
      <c r="R44" s="163"/>
      <c r="S44" s="4"/>
      <c r="T44" s="163"/>
      <c r="U44" s="163"/>
      <c r="V44" s="163"/>
      <c r="W44" s="4"/>
      <c r="X44" s="163"/>
      <c r="Y44" s="163"/>
      <c r="Z44" s="163"/>
      <c r="AB44" s="163"/>
      <c r="AC44" s="163"/>
      <c r="AD44" s="163"/>
      <c r="AE44" s="4"/>
      <c r="AG44" s="4" t="s">
        <v>12</v>
      </c>
      <c r="AH44" s="4"/>
      <c r="AI44" s="4"/>
      <c r="AJ44" s="4"/>
      <c r="AQ44" s="117"/>
      <c r="AR44" s="117" t="s">
        <v>113</v>
      </c>
      <c r="AS44" s="39" t="s">
        <v>286</v>
      </c>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row>
    <row r="45" spans="2:78" ht="13.95" customHeight="1" x14ac:dyDescent="0.3">
      <c r="I45" s="2"/>
      <c r="J45" s="2" t="s">
        <v>141</v>
      </c>
      <c r="K45" s="2"/>
      <c r="L45" s="157"/>
      <c r="M45" s="157"/>
      <c r="N45" s="157"/>
      <c r="P45" s="153"/>
      <c r="Q45" s="153"/>
      <c r="R45" s="153"/>
      <c r="S45" s="4"/>
      <c r="T45" s="153"/>
      <c r="U45" s="153"/>
      <c r="V45" s="153"/>
      <c r="W45" s="4"/>
      <c r="X45" s="153"/>
      <c r="Y45" s="153"/>
      <c r="Z45" s="153"/>
      <c r="AB45" s="153"/>
      <c r="AC45" s="153"/>
      <c r="AD45" s="153"/>
      <c r="AE45" s="4"/>
      <c r="AF45" s="157"/>
      <c r="AG45" s="157"/>
      <c r="AH45" s="157"/>
      <c r="AI45" s="4"/>
      <c r="AJ45" s="4"/>
      <c r="AQ45" s="117"/>
      <c r="AR45" s="117" t="s">
        <v>114</v>
      </c>
      <c r="AS45" s="39" t="s">
        <v>287</v>
      </c>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row>
    <row r="46" spans="2:78" ht="13.95" customHeight="1" x14ac:dyDescent="0.3">
      <c r="I46" s="2"/>
      <c r="J46" s="2" t="s">
        <v>4</v>
      </c>
      <c r="K46" s="2"/>
      <c r="L46" s="149"/>
      <c r="M46" s="149"/>
      <c r="N46" s="149"/>
      <c r="P46" s="164"/>
      <c r="Q46" s="164"/>
      <c r="R46" s="164"/>
      <c r="S46" s="4"/>
      <c r="T46" s="164"/>
      <c r="U46" s="164"/>
      <c r="V46" s="164"/>
      <c r="W46" s="4"/>
      <c r="X46" s="164"/>
      <c r="Y46" s="164"/>
      <c r="Z46" s="164"/>
      <c r="AB46" s="164"/>
      <c r="AC46" s="164"/>
      <c r="AD46" s="164"/>
      <c r="AE46" s="4"/>
      <c r="AF46" s="164"/>
      <c r="AG46" s="164"/>
      <c r="AH46" s="164"/>
      <c r="AI46" s="4"/>
      <c r="AJ46" s="4"/>
      <c r="AQ46" s="117"/>
      <c r="AR46" s="117" t="s">
        <v>112</v>
      </c>
      <c r="AS46" s="39" t="s">
        <v>288</v>
      </c>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row>
    <row r="47" spans="2:78" ht="13.95" customHeight="1" x14ac:dyDescent="0.3">
      <c r="I47" s="2"/>
      <c r="J47" s="2" t="s">
        <v>56</v>
      </c>
      <c r="K47" s="2"/>
      <c r="L47" s="150"/>
      <c r="M47" s="150"/>
      <c r="N47" s="150"/>
      <c r="P47" s="154"/>
      <c r="Q47" s="154"/>
      <c r="R47" s="154"/>
      <c r="S47" s="4"/>
      <c r="T47" s="154"/>
      <c r="U47" s="154"/>
      <c r="V47" s="154"/>
      <c r="W47" s="4"/>
      <c r="X47" s="154"/>
      <c r="Y47" s="154"/>
      <c r="Z47" s="154"/>
      <c r="AB47" s="154"/>
      <c r="AC47" s="154"/>
      <c r="AD47" s="154"/>
      <c r="AE47" s="4"/>
      <c r="AF47" s="154"/>
      <c r="AG47" s="154"/>
      <c r="AH47" s="154"/>
      <c r="AI47" s="4"/>
      <c r="AJ47" s="4"/>
      <c r="AL47" s="128">
        <f>SUM(AL48:AL53)</f>
        <v>0</v>
      </c>
      <c r="AM47" s="124">
        <f>SUM(AM48:AM53)</f>
        <v>0</v>
      </c>
      <c r="AN47" s="13" t="s">
        <v>12</v>
      </c>
      <c r="AQ47" s="117"/>
      <c r="AR47" s="117" t="s">
        <v>115</v>
      </c>
      <c r="AS47" s="39" t="s">
        <v>419</v>
      </c>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row>
    <row r="48" spans="2:78" ht="13.95" customHeight="1" x14ac:dyDescent="0.3">
      <c r="D48" s="141" t="s">
        <v>485</v>
      </c>
      <c r="E48" s="141"/>
      <c r="F48" s="158">
        <f>Tables!$C$16</f>
        <v>4.21</v>
      </c>
      <c r="G48" s="158"/>
      <c r="H48" s="41"/>
      <c r="J48" s="2" t="str">
        <f>Tables!$A$16</f>
        <v>(2-yr)</v>
      </c>
      <c r="K48" s="2"/>
      <c r="L48" s="157"/>
      <c r="M48" s="157"/>
      <c r="N48" s="157"/>
      <c r="P48" s="157"/>
      <c r="Q48" s="157"/>
      <c r="R48" s="157"/>
      <c r="S48" s="4"/>
      <c r="T48" s="157"/>
      <c r="U48" s="157"/>
      <c r="V48" s="157"/>
      <c r="W48" s="4"/>
      <c r="X48" s="157"/>
      <c r="Y48" s="157"/>
      <c r="Z48" s="157"/>
      <c r="AB48" s="157"/>
      <c r="AC48" s="157"/>
      <c r="AD48" s="157"/>
      <c r="AE48" s="4"/>
      <c r="AF48" s="157"/>
      <c r="AG48" s="157"/>
      <c r="AH48" s="157"/>
      <c r="AI48" s="4"/>
      <c r="AJ48" s="4"/>
      <c r="AL48" s="124"/>
      <c r="AM48" s="124">
        <f t="shared" ref="AM48:AM53" si="2">IF(ISBLANK(AF48),0,1)</f>
        <v>0</v>
      </c>
      <c r="AQ48" s="117"/>
      <c r="AR48" s="117"/>
      <c r="AS48" s="39" t="s">
        <v>420</v>
      </c>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row>
    <row r="49" spans="2:78" ht="13.95" customHeight="1" x14ac:dyDescent="0.3">
      <c r="D49" s="141"/>
      <c r="E49" s="141"/>
      <c r="F49" s="158">
        <f>Tables!$C$17</f>
        <v>5.24</v>
      </c>
      <c r="G49" s="158"/>
      <c r="H49" s="41"/>
      <c r="J49" s="2" t="str">
        <f>Tables!$A$17</f>
        <v>(5-yr)</v>
      </c>
      <c r="K49" s="2"/>
      <c r="L49" s="157"/>
      <c r="M49" s="157"/>
      <c r="N49" s="157"/>
      <c r="P49" s="153"/>
      <c r="Q49" s="153"/>
      <c r="R49" s="153"/>
      <c r="S49" s="4"/>
      <c r="T49" s="153"/>
      <c r="U49" s="153"/>
      <c r="V49" s="153"/>
      <c r="W49" s="4"/>
      <c r="X49" s="153"/>
      <c r="Y49" s="153"/>
      <c r="Z49" s="153"/>
      <c r="AB49" s="153"/>
      <c r="AC49" s="153"/>
      <c r="AD49" s="153"/>
      <c r="AE49" s="4"/>
      <c r="AF49" s="153"/>
      <c r="AG49" s="153"/>
      <c r="AH49" s="153"/>
      <c r="AI49" s="4"/>
      <c r="AJ49" s="4"/>
      <c r="AL49" s="124">
        <f t="shared" ref="AL49:AL53" si="3">IF(AF49=0,0,1)</f>
        <v>0</v>
      </c>
      <c r="AM49" s="124">
        <f t="shared" si="2"/>
        <v>0</v>
      </c>
      <c r="AQ49" s="117"/>
      <c r="AR49" s="117" t="s">
        <v>289</v>
      </c>
      <c r="AS49" s="39" t="s">
        <v>290</v>
      </c>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row>
    <row r="50" spans="2:78" ht="13.95" customHeight="1" x14ac:dyDescent="0.3">
      <c r="D50" s="141"/>
      <c r="E50" s="141"/>
      <c r="F50" s="158">
        <f>Tables!$C$18</f>
        <v>6.17</v>
      </c>
      <c r="G50" s="158"/>
      <c r="H50" s="41"/>
      <c r="J50" s="2" t="str">
        <f>Tables!$A$18</f>
        <v>(10-yr)</v>
      </c>
      <c r="K50" s="2"/>
      <c r="L50" s="157"/>
      <c r="M50" s="157"/>
      <c r="N50" s="157"/>
      <c r="P50" s="153"/>
      <c r="Q50" s="153"/>
      <c r="R50" s="153"/>
      <c r="S50" s="4"/>
      <c r="T50" s="153"/>
      <c r="U50" s="153"/>
      <c r="V50" s="153"/>
      <c r="W50" s="4"/>
      <c r="X50" s="153"/>
      <c r="Y50" s="153"/>
      <c r="Z50" s="153"/>
      <c r="AB50" s="153"/>
      <c r="AC50" s="153"/>
      <c r="AD50" s="153"/>
      <c r="AE50" s="4"/>
      <c r="AF50" s="153"/>
      <c r="AG50" s="153"/>
      <c r="AH50" s="153"/>
      <c r="AI50" s="4"/>
      <c r="AJ50" s="4"/>
      <c r="AL50" s="124">
        <f t="shared" si="3"/>
        <v>0</v>
      </c>
      <c r="AM50" s="124">
        <f t="shared" si="2"/>
        <v>0</v>
      </c>
      <c r="AQ50" s="117"/>
      <c r="AR50" s="117" t="s">
        <v>291</v>
      </c>
      <c r="AS50" s="39" t="s">
        <v>421</v>
      </c>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row>
    <row r="51" spans="2:78" ht="13.95" customHeight="1" x14ac:dyDescent="0.3">
      <c r="D51" s="141"/>
      <c r="E51" s="141"/>
      <c r="F51" s="158">
        <f>Tables!$C$19</f>
        <v>7.55</v>
      </c>
      <c r="G51" s="158"/>
      <c r="H51" s="41"/>
      <c r="J51" s="2" t="str">
        <f>Tables!$A$19</f>
        <v>(25-yr)</v>
      </c>
      <c r="K51" s="2"/>
      <c r="L51" s="157"/>
      <c r="M51" s="157"/>
      <c r="N51" s="157"/>
      <c r="P51" s="153"/>
      <c r="Q51" s="153"/>
      <c r="R51" s="153"/>
      <c r="S51" s="4"/>
      <c r="T51" s="153"/>
      <c r="U51" s="153"/>
      <c r="V51" s="153"/>
      <c r="W51" s="4"/>
      <c r="X51" s="153"/>
      <c r="Y51" s="153"/>
      <c r="Z51" s="153"/>
      <c r="AB51" s="153"/>
      <c r="AC51" s="153"/>
      <c r="AD51" s="153"/>
      <c r="AE51" s="4"/>
      <c r="AF51" s="153"/>
      <c r="AG51" s="153"/>
      <c r="AH51" s="153"/>
      <c r="AI51" s="4"/>
      <c r="AJ51" s="4"/>
      <c r="AL51" s="124">
        <f t="shared" si="3"/>
        <v>0</v>
      </c>
      <c r="AM51" s="124">
        <f t="shared" si="2"/>
        <v>0</v>
      </c>
      <c r="AQ51" s="117"/>
      <c r="AR51" s="117"/>
      <c r="AS51" s="39" t="s">
        <v>422</v>
      </c>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row>
    <row r="52" spans="2:78" ht="13.95" customHeight="1" x14ac:dyDescent="0.3">
      <c r="D52" s="141"/>
      <c r="E52" s="141"/>
      <c r="F52" s="158">
        <f>Tables!$C$20</f>
        <v>8.6999999999999993</v>
      </c>
      <c r="G52" s="158"/>
      <c r="H52" s="41"/>
      <c r="J52" s="2" t="str">
        <f>Tables!$A$20</f>
        <v>(50-yr)</v>
      </c>
      <c r="K52" s="2"/>
      <c r="L52" s="157"/>
      <c r="M52" s="157"/>
      <c r="N52" s="157"/>
      <c r="P52" s="153"/>
      <c r="Q52" s="153"/>
      <c r="R52" s="153"/>
      <c r="S52" s="4"/>
      <c r="T52" s="153"/>
      <c r="U52" s="153"/>
      <c r="V52" s="153"/>
      <c r="W52" s="4"/>
      <c r="X52" s="153"/>
      <c r="Y52" s="153"/>
      <c r="Z52" s="153"/>
      <c r="AB52" s="153"/>
      <c r="AC52" s="153"/>
      <c r="AD52" s="153"/>
      <c r="AE52" s="4"/>
      <c r="AF52" s="153"/>
      <c r="AG52" s="153"/>
      <c r="AH52" s="153"/>
      <c r="AI52" s="4"/>
      <c r="AJ52" s="4"/>
      <c r="AL52" s="124">
        <f t="shared" si="3"/>
        <v>0</v>
      </c>
      <c r="AM52" s="124">
        <f t="shared" si="2"/>
        <v>0</v>
      </c>
      <c r="AQ52" s="117"/>
      <c r="AR52" s="117" t="s">
        <v>292</v>
      </c>
      <c r="AS52" s="39" t="s">
        <v>423</v>
      </c>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row>
    <row r="53" spans="2:78" ht="13.95" customHeight="1" x14ac:dyDescent="0.3">
      <c r="D53" s="141"/>
      <c r="E53" s="141"/>
      <c r="F53" s="158">
        <f>Tables!$C$21</f>
        <v>9.93</v>
      </c>
      <c r="G53" s="158"/>
      <c r="H53" s="41"/>
      <c r="J53" s="2" t="str">
        <f>Tables!$A$21</f>
        <v>(100-yr)</v>
      </c>
      <c r="K53" s="2"/>
      <c r="L53" s="157"/>
      <c r="M53" s="157"/>
      <c r="N53" s="157"/>
      <c r="P53" s="153"/>
      <c r="Q53" s="153"/>
      <c r="R53" s="153"/>
      <c r="S53" s="4"/>
      <c r="T53" s="153"/>
      <c r="U53" s="153"/>
      <c r="V53" s="153"/>
      <c r="W53" s="4"/>
      <c r="X53" s="153"/>
      <c r="Y53" s="153"/>
      <c r="Z53" s="153"/>
      <c r="AB53" s="153"/>
      <c r="AC53" s="153"/>
      <c r="AD53" s="153"/>
      <c r="AE53" s="4"/>
      <c r="AF53" s="153"/>
      <c r="AG53" s="153"/>
      <c r="AH53" s="153"/>
      <c r="AI53" s="4"/>
      <c r="AJ53" s="4"/>
      <c r="AL53" s="124">
        <f t="shared" si="3"/>
        <v>0</v>
      </c>
      <c r="AM53" s="124">
        <f t="shared" si="2"/>
        <v>0</v>
      </c>
      <c r="AQ53" s="117"/>
      <c r="AS53" s="39" t="s">
        <v>424</v>
      </c>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row>
    <row r="54" spans="2:78" ht="4.95" customHeight="1" x14ac:dyDescent="0.3">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row>
    <row r="55" spans="2:78" ht="15" customHeight="1" x14ac:dyDescent="0.3">
      <c r="AK55" s="41"/>
      <c r="AQ55" s="117">
        <v>12</v>
      </c>
      <c r="AR55" s="118" t="s">
        <v>293</v>
      </c>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row>
    <row r="56" spans="2:78" ht="15" customHeight="1" x14ac:dyDescent="0.3">
      <c r="J56" s="2" t="s">
        <v>486</v>
      </c>
      <c r="K56" s="70"/>
      <c r="L56" s="39" t="s">
        <v>130</v>
      </c>
      <c r="N56" s="70"/>
      <c r="O56" s="39" t="s">
        <v>131</v>
      </c>
      <c r="V56" s="2" t="s">
        <v>487</v>
      </c>
      <c r="W56" s="70"/>
      <c r="X56" s="39" t="s">
        <v>130</v>
      </c>
      <c r="Z56" s="70"/>
      <c r="AA56" s="39" t="s">
        <v>131</v>
      </c>
      <c r="AL56" s="124">
        <f>IF(AND(ISBLANK(K56),ISBLANK(N56)),1,2)</f>
        <v>1</v>
      </c>
      <c r="AM56" s="124">
        <f>IF(ISBLANK(K56),1,2)</f>
        <v>1</v>
      </c>
      <c r="AN56" s="124">
        <f>IF(AND(ISBLANK(W56),ISBLANK(Z56)),1,2)</f>
        <v>1</v>
      </c>
      <c r="AO56" s="124">
        <f>IF(ISBLANK(W56),1,2)</f>
        <v>1</v>
      </c>
      <c r="AQ56" s="117"/>
      <c r="AR56" s="117" t="s">
        <v>98</v>
      </c>
      <c r="AS56" s="39" t="s">
        <v>294</v>
      </c>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row>
    <row r="57" spans="2:78" ht="15" customHeight="1" x14ac:dyDescent="0.3">
      <c r="AK57" s="41"/>
      <c r="AQ57" s="117"/>
      <c r="AR57" s="117" t="s">
        <v>99</v>
      </c>
      <c r="AS57" s="39" t="s">
        <v>295</v>
      </c>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row>
    <row r="58" spans="2:78" ht="15" customHeight="1" x14ac:dyDescent="0.3">
      <c r="B58" s="142">
        <f>Tables!$C$13</f>
        <v>45383</v>
      </c>
      <c r="C58" s="142"/>
      <c r="D58" s="142"/>
      <c r="E58" s="142"/>
      <c r="F58" s="142"/>
      <c r="G58" s="142"/>
      <c r="H58" s="142"/>
      <c r="R58" s="143" t="s">
        <v>343</v>
      </c>
      <c r="S58" s="143"/>
      <c r="T58" s="143"/>
      <c r="U58" s="143"/>
      <c r="AK58" s="41"/>
      <c r="AR58" s="117" t="s">
        <v>113</v>
      </c>
      <c r="AS58" s="39" t="s">
        <v>296</v>
      </c>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row>
    <row r="59" spans="2:78" ht="15" customHeight="1" x14ac:dyDescent="0.3">
      <c r="C59" s="2" t="s">
        <v>1</v>
      </c>
      <c r="D59" s="145">
        <f>IF(ISBLANK($E$13),0,$E$13)</f>
        <v>0</v>
      </c>
      <c r="E59" s="145"/>
      <c r="F59" s="145"/>
      <c r="G59" s="145"/>
      <c r="H59" s="145"/>
      <c r="I59" s="145"/>
      <c r="J59" s="145"/>
      <c r="K59" s="145"/>
      <c r="L59" s="145"/>
      <c r="M59" s="145"/>
      <c r="N59" s="145"/>
      <c r="O59" s="145"/>
      <c r="P59" s="145"/>
      <c r="Q59" s="145"/>
      <c r="R59" s="145"/>
      <c r="S59" s="145"/>
      <c r="T59" s="145"/>
      <c r="U59" s="145"/>
      <c r="V59" s="145"/>
      <c r="W59" s="145"/>
      <c r="X59" s="145"/>
      <c r="Y59" s="145"/>
      <c r="AD59" s="2" t="s">
        <v>21</v>
      </c>
      <c r="AE59" s="146">
        <f>IF(ISBLANK($AE$13),0,$AE$13)</f>
        <v>0</v>
      </c>
      <c r="AF59" s="146"/>
      <c r="AG59" s="146"/>
      <c r="AH59" s="146"/>
      <c r="AI59" s="146"/>
      <c r="AJ59" s="146"/>
      <c r="AM59" s="124">
        <f t="shared" ref="AM59" si="4">IF(ISBLANK(AF59),0,1)</f>
        <v>0</v>
      </c>
      <c r="AR59" s="117" t="s">
        <v>114</v>
      </c>
      <c r="AS59" s="39" t="s">
        <v>297</v>
      </c>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row>
    <row r="60" spans="2:78" ht="15" customHeight="1" x14ac:dyDescent="0.3">
      <c r="B60" s="1" t="s">
        <v>265</v>
      </c>
      <c r="C60" s="1"/>
      <c r="D60" s="1"/>
      <c r="E60" s="1"/>
      <c r="F60" s="1"/>
      <c r="G60" s="1"/>
      <c r="H60" s="1"/>
      <c r="K60" s="2"/>
      <c r="L60" s="2"/>
      <c r="M60" s="2"/>
      <c r="N60" s="2"/>
      <c r="O60" s="2"/>
      <c r="P60" s="2"/>
      <c r="Q60" s="2"/>
      <c r="R60" s="2"/>
      <c r="S60" s="2"/>
      <c r="T60" s="2"/>
      <c r="U60" s="2"/>
      <c r="V60" s="2"/>
      <c r="W60" s="2"/>
      <c r="X60" s="2"/>
      <c r="Y60" s="2"/>
      <c r="Z60" s="2"/>
      <c r="AA60" s="2"/>
      <c r="AB60" s="2"/>
      <c r="AD60" s="2" t="s">
        <v>35</v>
      </c>
      <c r="AE60" s="147">
        <f>IF(ISBLANK($AE$14),0,$AE$14)</f>
        <v>0</v>
      </c>
      <c r="AF60" s="147"/>
      <c r="AG60" s="147"/>
      <c r="AH60" s="147"/>
      <c r="AI60" s="147"/>
      <c r="AJ60" s="147"/>
      <c r="AK60" s="2"/>
      <c r="AL60" s="86"/>
      <c r="AM60" s="86"/>
      <c r="AN60" s="86"/>
      <c r="AO60" s="86"/>
      <c r="AP60" s="2"/>
      <c r="AR60" s="117" t="s">
        <v>112</v>
      </c>
      <c r="AS60" s="39" t="s">
        <v>298</v>
      </c>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row>
    <row r="61" spans="2:78" ht="4.95" customHeight="1" x14ac:dyDescent="0.3">
      <c r="AK61" s="2"/>
      <c r="AL61" s="86"/>
      <c r="AN61" s="86"/>
      <c r="AO61" s="86"/>
      <c r="AP61" s="2"/>
    </row>
    <row r="62" spans="2:78" ht="15" customHeight="1" x14ac:dyDescent="0.3">
      <c r="H62" s="2" t="s">
        <v>228</v>
      </c>
      <c r="J62" s="70"/>
      <c r="K62" s="39" t="s">
        <v>229</v>
      </c>
      <c r="M62" s="70"/>
      <c r="N62" s="39" t="s">
        <v>230</v>
      </c>
      <c r="P62" s="70"/>
      <c r="Q62" s="39" t="s">
        <v>231</v>
      </c>
      <c r="S62" s="70"/>
      <c r="T62" s="39" t="s">
        <v>232</v>
      </c>
      <c r="AK62" s="2"/>
      <c r="AL62" s="124">
        <f>IF(AND(ISBLANK(J62),ISBLANK(M62),ISBLANK(P62),ISBLANK(S62)),1,2)</f>
        <v>1</v>
      </c>
      <c r="AN62" s="86"/>
      <c r="AO62" s="86"/>
      <c r="AP62" s="2"/>
      <c r="AR62" s="117" t="s">
        <v>115</v>
      </c>
      <c r="AS62" s="39" t="s">
        <v>299</v>
      </c>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row>
    <row r="63" spans="2:78" ht="4.95" customHeight="1" x14ac:dyDescent="0.3">
      <c r="AK63" s="2"/>
      <c r="AN63" s="86"/>
      <c r="AO63" s="86"/>
      <c r="AP63" s="2"/>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row>
    <row r="64" spans="2:78" ht="15" customHeight="1" x14ac:dyDescent="0.3">
      <c r="K64" s="2" t="s">
        <v>234</v>
      </c>
      <c r="L64" s="150"/>
      <c r="M64" s="150"/>
      <c r="N64" s="150"/>
      <c r="O64" s="39" t="s">
        <v>235</v>
      </c>
      <c r="AD64" s="2" t="s">
        <v>307</v>
      </c>
      <c r="AE64" s="70"/>
      <c r="AF64" s="39" t="s">
        <v>130</v>
      </c>
      <c r="AG64" s="2"/>
      <c r="AH64" s="70"/>
      <c r="AI64" s="39" t="s">
        <v>131</v>
      </c>
      <c r="AK64" s="2"/>
      <c r="AL64" s="124">
        <f>IF(AND(ISBLANK(AE64),ISBLANK(AH64)),1,2)</f>
        <v>1</v>
      </c>
      <c r="AN64" s="86"/>
      <c r="AO64" s="86"/>
      <c r="AP64" s="2"/>
      <c r="AQ64" s="117"/>
      <c r="AR64" s="117" t="s">
        <v>289</v>
      </c>
      <c r="AS64" s="39" t="s">
        <v>300</v>
      </c>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row>
    <row r="65" spans="3:81" ht="4.95" customHeight="1" x14ac:dyDescent="0.3">
      <c r="AK65" s="2"/>
      <c r="AN65" s="86"/>
      <c r="AO65" s="86"/>
      <c r="AP65" s="2"/>
      <c r="AR65" s="117"/>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row>
    <row r="66" spans="3:81" ht="15" customHeight="1" x14ac:dyDescent="0.3">
      <c r="G66" s="2" t="s">
        <v>266</v>
      </c>
      <c r="H66" s="150"/>
      <c r="I66" s="150"/>
      <c r="J66" s="150"/>
      <c r="K66" s="39" t="s">
        <v>37</v>
      </c>
      <c r="S66" s="2" t="s">
        <v>233</v>
      </c>
      <c r="T66" s="150"/>
      <c r="U66" s="150"/>
      <c r="V66" s="150"/>
      <c r="W66" s="39" t="s">
        <v>45</v>
      </c>
      <c r="AB66" s="2" t="s">
        <v>267</v>
      </c>
      <c r="AC66" s="150"/>
      <c r="AD66" s="150"/>
      <c r="AE66" s="150"/>
      <c r="AF66" s="39" t="s">
        <v>268</v>
      </c>
      <c r="AK66" s="2"/>
      <c r="AN66" s="86"/>
      <c r="AO66" s="86"/>
      <c r="AP66" s="2"/>
      <c r="AR66" s="117" t="s">
        <v>291</v>
      </c>
      <c r="AS66" s="39" t="s">
        <v>301</v>
      </c>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row>
    <row r="67" spans="3:81" ht="4.95" customHeight="1" x14ac:dyDescent="0.3">
      <c r="K67" s="2"/>
      <c r="O67" s="2"/>
      <c r="W67" s="2"/>
      <c r="AE67" s="2"/>
      <c r="AK67" s="2"/>
      <c r="AN67" s="86"/>
      <c r="AO67" s="86"/>
      <c r="AP67" s="2"/>
      <c r="AQ67" s="117"/>
    </row>
    <row r="68" spans="3:81" ht="15" customHeight="1" x14ac:dyDescent="0.3">
      <c r="G68" s="2" t="s">
        <v>237</v>
      </c>
      <c r="H68" s="70"/>
      <c r="I68" s="39" t="s">
        <v>130</v>
      </c>
      <c r="J68" s="2"/>
      <c r="K68" s="70"/>
      <c r="L68" s="39" t="s">
        <v>131</v>
      </c>
      <c r="O68" s="2" t="s">
        <v>236</v>
      </c>
      <c r="P68" s="155"/>
      <c r="Q68" s="155"/>
      <c r="R68" s="155"/>
      <c r="S68" s="155"/>
      <c r="T68" s="155"/>
      <c r="W68" s="2"/>
      <c r="X68" s="2"/>
      <c r="Y68" s="2"/>
      <c r="AK68" s="2"/>
      <c r="AL68" s="124">
        <f>IF(AND(ISBLANK(H68),ISBLANK(K68)),1,2)</f>
        <v>1</v>
      </c>
      <c r="AM68" s="124">
        <f>IF(ISBLANK(H68),1,2)</f>
        <v>1</v>
      </c>
      <c r="AN68" s="86"/>
      <c r="AO68" s="86"/>
      <c r="AP68" s="2"/>
      <c r="AQ68" s="117"/>
      <c r="AR68" s="117" t="s">
        <v>292</v>
      </c>
      <c r="AS68" s="39" t="s">
        <v>302</v>
      </c>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row>
    <row r="69" spans="3:81" ht="4.95" customHeight="1" x14ac:dyDescent="0.3">
      <c r="G69" s="2"/>
      <c r="H69" s="2"/>
      <c r="I69" s="2"/>
      <c r="J69" s="2"/>
      <c r="K69" s="2"/>
      <c r="L69" s="2"/>
      <c r="W69" s="2"/>
      <c r="X69" s="2"/>
      <c r="Y69" s="2"/>
      <c r="AK69" s="2"/>
      <c r="AN69" s="86"/>
      <c r="AO69" s="86"/>
      <c r="AP69" s="2"/>
      <c r="AQ69" s="117"/>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row>
    <row r="70" spans="3:81" ht="14.55" customHeight="1" x14ac:dyDescent="0.3">
      <c r="C70" s="93" t="s">
        <v>246</v>
      </c>
      <c r="N70" s="4" t="s">
        <v>238</v>
      </c>
      <c r="R70" s="143" t="s">
        <v>239</v>
      </c>
      <c r="S70" s="143"/>
      <c r="T70" s="143"/>
      <c r="W70" s="143" t="s">
        <v>240</v>
      </c>
      <c r="X70" s="143"/>
      <c r="Y70" s="143"/>
      <c r="AN70" s="86"/>
      <c r="AO70" s="86"/>
      <c r="AP70" s="2"/>
      <c r="AQ70" s="117"/>
      <c r="AR70" s="117" t="s">
        <v>305</v>
      </c>
      <c r="AS70" s="39" t="s">
        <v>303</v>
      </c>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row>
    <row r="71" spans="3:81" ht="14.55" customHeight="1" x14ac:dyDescent="0.3">
      <c r="L71" s="2" t="s">
        <v>270</v>
      </c>
      <c r="M71" s="150"/>
      <c r="N71" s="150"/>
      <c r="O71" s="150"/>
      <c r="P71" s="39" t="s">
        <v>44</v>
      </c>
      <c r="R71" s="150"/>
      <c r="S71" s="150"/>
      <c r="T71" s="150"/>
      <c r="U71" s="39" t="s">
        <v>45</v>
      </c>
      <c r="W71" s="150"/>
      <c r="X71" s="150"/>
      <c r="Y71" s="150"/>
      <c r="Z71" s="39" t="s">
        <v>45</v>
      </c>
      <c r="AN71" s="86"/>
      <c r="AO71" s="86"/>
      <c r="AP71" s="2"/>
      <c r="AQ71" s="117"/>
      <c r="AR71" s="117" t="s">
        <v>306</v>
      </c>
      <c r="AS71" s="39" t="s">
        <v>304</v>
      </c>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row>
    <row r="72" spans="3:81" ht="14.55" customHeight="1" x14ac:dyDescent="0.3">
      <c r="L72" s="2" t="s">
        <v>271</v>
      </c>
      <c r="M72" s="154"/>
      <c r="N72" s="154"/>
      <c r="O72" s="154"/>
      <c r="P72" s="39" t="s">
        <v>44</v>
      </c>
      <c r="R72" s="154"/>
      <c r="S72" s="154"/>
      <c r="T72" s="154"/>
      <c r="U72" s="39" t="s">
        <v>45</v>
      </c>
      <c r="W72" s="154"/>
      <c r="X72" s="154"/>
      <c r="Y72" s="154"/>
      <c r="Z72" s="39" t="s">
        <v>45</v>
      </c>
      <c r="AN72" s="86"/>
      <c r="AO72" s="86"/>
      <c r="AP72" s="2"/>
      <c r="AQ72" s="117"/>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row>
    <row r="73" spans="3:81" ht="14.55" customHeight="1" x14ac:dyDescent="0.3">
      <c r="L73" s="2" t="s">
        <v>272</v>
      </c>
      <c r="M73" s="154"/>
      <c r="N73" s="154"/>
      <c r="O73" s="154"/>
      <c r="P73" s="39" t="s">
        <v>44</v>
      </c>
      <c r="R73" s="154"/>
      <c r="S73" s="154"/>
      <c r="T73" s="154"/>
      <c r="U73" s="39" t="s">
        <v>45</v>
      </c>
      <c r="W73" s="154"/>
      <c r="X73" s="154"/>
      <c r="Y73" s="154"/>
      <c r="Z73" s="39" t="s">
        <v>45</v>
      </c>
      <c r="AN73" s="86"/>
      <c r="AO73" s="86"/>
      <c r="AP73" s="2"/>
      <c r="AQ73" s="24">
        <v>13</v>
      </c>
      <c r="AR73" s="39" t="s">
        <v>461</v>
      </c>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row>
    <row r="74" spans="3:81" ht="4.95" customHeight="1" x14ac:dyDescent="0.3">
      <c r="L74" s="2"/>
      <c r="M74" s="101"/>
      <c r="N74" s="101"/>
      <c r="O74" s="101"/>
      <c r="R74" s="40"/>
      <c r="S74" s="40"/>
      <c r="T74" s="40"/>
      <c r="W74" s="40"/>
      <c r="X74" s="40"/>
      <c r="Y74" s="40"/>
      <c r="AN74" s="86"/>
      <c r="AO74" s="86"/>
      <c r="AP74" s="2"/>
      <c r="AV74" s="117"/>
      <c r="AW74" s="117"/>
      <c r="AX74" s="117"/>
      <c r="AY74" s="117"/>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row>
    <row r="75" spans="3:81" ht="14.55" customHeight="1" x14ac:dyDescent="0.3">
      <c r="C75" s="93" t="s">
        <v>243</v>
      </c>
      <c r="L75" s="2" t="s">
        <v>175</v>
      </c>
      <c r="M75" s="155"/>
      <c r="N75" s="155"/>
      <c r="O75" s="155"/>
      <c r="P75" s="155"/>
      <c r="AC75" s="70"/>
      <c r="AD75" s="39" t="s">
        <v>247</v>
      </c>
      <c r="AL75" s="124">
        <f>IF(ISBLANK(M75),1,2)</f>
        <v>1</v>
      </c>
      <c r="AM75" s="124">
        <f>IF(ISBLANK(AC75),1,2)</f>
        <v>1</v>
      </c>
      <c r="AN75" s="86"/>
      <c r="AO75" s="86"/>
      <c r="AP75" s="2"/>
      <c r="AV75" s="117"/>
      <c r="AW75" s="117"/>
      <c r="AX75" s="117"/>
      <c r="AY75" s="117"/>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row>
    <row r="76" spans="3:81" ht="14.55" customHeight="1" x14ac:dyDescent="0.3">
      <c r="L76" s="2" t="s">
        <v>245</v>
      </c>
      <c r="M76" s="154"/>
      <c r="N76" s="154"/>
      <c r="O76" s="154"/>
      <c r="P76" s="39" t="s">
        <v>45</v>
      </c>
      <c r="V76" s="2" t="s">
        <v>174</v>
      </c>
      <c r="W76" s="150"/>
      <c r="X76" s="150"/>
      <c r="Y76" s="150"/>
      <c r="Z76" s="39" t="s">
        <v>44</v>
      </c>
      <c r="AN76" s="86"/>
      <c r="AO76" s="86"/>
      <c r="AP76" s="2"/>
      <c r="AV76" s="117"/>
      <c r="AW76" s="117"/>
      <c r="AX76" s="117"/>
      <c r="AY76" s="117"/>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row>
    <row r="77" spans="3:81" ht="14.55" customHeight="1" x14ac:dyDescent="0.3">
      <c r="L77" s="2" t="s">
        <v>244</v>
      </c>
      <c r="M77" s="154"/>
      <c r="N77" s="154"/>
      <c r="O77" s="154"/>
      <c r="P77" s="39" t="s">
        <v>45</v>
      </c>
      <c r="V77" s="2" t="s">
        <v>174</v>
      </c>
      <c r="W77" s="154"/>
      <c r="X77" s="154"/>
      <c r="Y77" s="154"/>
      <c r="Z77" s="39" t="s">
        <v>44</v>
      </c>
      <c r="AN77" s="86"/>
      <c r="AO77" s="86"/>
      <c r="AP77" s="2"/>
      <c r="AQ77" s="117"/>
      <c r="AU77" s="117"/>
      <c r="AV77" s="117"/>
      <c r="AW77" s="117"/>
      <c r="AX77" s="117"/>
      <c r="AY77" s="117"/>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row>
    <row r="78" spans="3:81" ht="4.95" customHeight="1" x14ac:dyDescent="0.3">
      <c r="AN78" s="86"/>
      <c r="AO78" s="86"/>
      <c r="AP78" s="2"/>
      <c r="AQ78" s="117"/>
      <c r="AU78" s="117"/>
      <c r="AV78" s="117"/>
      <c r="AW78" s="117"/>
      <c r="AX78" s="117"/>
      <c r="AY78" s="117"/>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36"/>
    </row>
    <row r="79" spans="3:81" ht="14.55" customHeight="1" x14ac:dyDescent="0.3">
      <c r="C79" s="93" t="s">
        <v>269</v>
      </c>
      <c r="L79" s="2" t="s">
        <v>175</v>
      </c>
      <c r="M79" s="155"/>
      <c r="N79" s="155"/>
      <c r="O79" s="155"/>
      <c r="P79" s="155"/>
      <c r="AC79" s="70"/>
      <c r="AD79" s="39" t="s">
        <v>281</v>
      </c>
      <c r="AL79" s="124">
        <f>IF(ISBLANK(M79),1,2)</f>
        <v>1</v>
      </c>
      <c r="AM79" s="124">
        <f>IF(ISBLANK(AC79),1,2)</f>
        <v>1</v>
      </c>
      <c r="AN79" s="86"/>
      <c r="AO79" s="86"/>
      <c r="AP79" s="2"/>
      <c r="AQ79" s="117"/>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36"/>
    </row>
    <row r="80" spans="3:81" ht="14.55" customHeight="1" x14ac:dyDescent="0.3">
      <c r="L80" s="2" t="s">
        <v>174</v>
      </c>
      <c r="M80" s="154"/>
      <c r="N80" s="154"/>
      <c r="O80" s="154"/>
      <c r="P80" s="39" t="s">
        <v>44</v>
      </c>
      <c r="V80" s="2" t="s">
        <v>280</v>
      </c>
      <c r="W80" s="149"/>
      <c r="X80" s="149"/>
      <c r="Y80" s="149"/>
      <c r="Z80" s="39" t="s">
        <v>241</v>
      </c>
      <c r="AN80" s="86"/>
      <c r="AO80" s="86"/>
      <c r="AP80" s="2"/>
      <c r="AQ80" s="117"/>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36"/>
    </row>
    <row r="81" spans="2:81" ht="4.95" customHeight="1" x14ac:dyDescent="0.3">
      <c r="AN81" s="86"/>
      <c r="AO81" s="86"/>
      <c r="AP81" s="2"/>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36"/>
    </row>
    <row r="82" spans="2:81" ht="14.55" customHeight="1" x14ac:dyDescent="0.3">
      <c r="C82" s="93" t="s">
        <v>273</v>
      </c>
      <c r="L82" s="2" t="s">
        <v>175</v>
      </c>
      <c r="M82" s="155"/>
      <c r="N82" s="155"/>
      <c r="O82" s="155"/>
      <c r="P82" s="155"/>
      <c r="V82" s="2" t="s">
        <v>176</v>
      </c>
      <c r="W82" s="155"/>
      <c r="X82" s="155"/>
      <c r="Y82" s="155"/>
      <c r="AC82" s="70"/>
      <c r="AD82" s="39" t="s">
        <v>314</v>
      </c>
      <c r="AL82" s="124">
        <f>IF(ISBLANK(AC82),1,2)</f>
        <v>1</v>
      </c>
      <c r="AN82" s="86"/>
      <c r="AO82" s="86"/>
      <c r="AP82" s="2"/>
      <c r="AQ82" s="117"/>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36"/>
    </row>
    <row r="83" spans="2:81" ht="4.95" customHeight="1" x14ac:dyDescent="0.3">
      <c r="C83" s="93"/>
      <c r="L83" s="2"/>
      <c r="M83" s="2"/>
      <c r="N83" s="2"/>
      <c r="O83" s="2"/>
      <c r="P83" s="2"/>
      <c r="Q83" s="2"/>
      <c r="R83" s="2"/>
      <c r="S83" s="2"/>
      <c r="T83" s="2"/>
      <c r="U83" s="2"/>
      <c r="V83" s="2"/>
      <c r="W83" s="2"/>
      <c r="X83" s="2"/>
      <c r="Y83" s="2"/>
      <c r="Z83" s="2"/>
      <c r="AA83" s="2"/>
      <c r="AB83" s="2"/>
      <c r="AC83" s="2"/>
      <c r="AD83" s="2"/>
      <c r="AN83" s="86"/>
      <c r="AO83" s="86"/>
      <c r="AP83" s="2"/>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36"/>
    </row>
    <row r="84" spans="2:81" ht="14.55" customHeight="1" x14ac:dyDescent="0.3">
      <c r="L84" s="2" t="s">
        <v>174</v>
      </c>
      <c r="M84" s="150"/>
      <c r="N84" s="150"/>
      <c r="O84" s="150"/>
      <c r="P84" s="39" t="s">
        <v>44</v>
      </c>
      <c r="V84" s="2" t="s">
        <v>173</v>
      </c>
      <c r="W84" s="150"/>
      <c r="X84" s="150"/>
      <c r="Y84" s="150"/>
      <c r="Z84" s="39" t="s">
        <v>45</v>
      </c>
      <c r="AE84" s="2" t="s">
        <v>177</v>
      </c>
      <c r="AF84" s="150"/>
      <c r="AG84" s="150"/>
      <c r="AH84" s="150"/>
      <c r="AI84" s="39" t="s">
        <v>45</v>
      </c>
      <c r="AL84" s="124">
        <f>IF(ISBLANK(M84),1,2)</f>
        <v>1</v>
      </c>
      <c r="AM84" s="124">
        <f>IF(AND(ISBLANK(W84),ISBLANK(AF84)),1,2)</f>
        <v>1</v>
      </c>
      <c r="AN84" s="86"/>
      <c r="AO84" s="86"/>
      <c r="AP84" s="2"/>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36"/>
    </row>
    <row r="85" spans="2:81" ht="4.95" customHeight="1" x14ac:dyDescent="0.3">
      <c r="AN85" s="86"/>
      <c r="AO85" s="86"/>
      <c r="AP85" s="2"/>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36"/>
    </row>
    <row r="86" spans="2:81" ht="14.55" customHeight="1" x14ac:dyDescent="0.3">
      <c r="L86" s="2" t="s">
        <v>308</v>
      </c>
      <c r="M86" s="150"/>
      <c r="N86" s="150"/>
      <c r="O86" s="150"/>
      <c r="P86" s="39" t="s">
        <v>45</v>
      </c>
      <c r="V86" s="2" t="s">
        <v>309</v>
      </c>
      <c r="W86" s="150"/>
      <c r="X86" s="150"/>
      <c r="Y86" s="150"/>
      <c r="Z86" s="39" t="s">
        <v>45</v>
      </c>
      <c r="AD86" s="2" t="s">
        <v>170</v>
      </c>
      <c r="AE86" s="22"/>
      <c r="AF86" s="39" t="s">
        <v>130</v>
      </c>
      <c r="AG86" s="2"/>
      <c r="AH86" s="22"/>
      <c r="AI86" s="39" t="s">
        <v>131</v>
      </c>
      <c r="AL86" s="124">
        <f>IF(AND(ISBLANK(AE86),ISBLANK(AH86)),1,2)</f>
        <v>1</v>
      </c>
      <c r="AN86" s="86"/>
      <c r="AO86" s="86"/>
      <c r="AP86" s="2"/>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36"/>
    </row>
    <row r="87" spans="2:81" ht="4.95" customHeight="1" x14ac:dyDescent="0.3">
      <c r="AN87" s="86"/>
      <c r="AO87" s="86"/>
      <c r="AP87" s="2"/>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36"/>
    </row>
    <row r="88" spans="2:81" ht="14.55" customHeight="1" x14ac:dyDescent="0.3">
      <c r="C88" s="93" t="s">
        <v>274</v>
      </c>
      <c r="L88" s="2" t="s">
        <v>175</v>
      </c>
      <c r="M88" s="155"/>
      <c r="N88" s="155"/>
      <c r="O88" s="155"/>
      <c r="P88" s="155"/>
      <c r="V88" s="2" t="s">
        <v>176</v>
      </c>
      <c r="W88" s="156"/>
      <c r="X88" s="156"/>
      <c r="Y88" s="156"/>
      <c r="AE88" s="2" t="s">
        <v>254</v>
      </c>
      <c r="AF88" s="150"/>
      <c r="AG88" s="150"/>
      <c r="AH88" s="150"/>
      <c r="AI88" s="39" t="s">
        <v>45</v>
      </c>
      <c r="AN88" s="86"/>
      <c r="AO88" s="86"/>
      <c r="AP88" s="2"/>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36"/>
    </row>
    <row r="89" spans="2:81" ht="14.55" customHeight="1" x14ac:dyDescent="0.3">
      <c r="L89" s="2" t="s">
        <v>174</v>
      </c>
      <c r="M89" s="150"/>
      <c r="N89" s="150"/>
      <c r="O89" s="150"/>
      <c r="P89" s="39" t="s">
        <v>44</v>
      </c>
      <c r="V89" s="2" t="s">
        <v>173</v>
      </c>
      <c r="W89" s="154"/>
      <c r="X89" s="154"/>
      <c r="Y89" s="154"/>
      <c r="Z89" s="39" t="s">
        <v>45</v>
      </c>
      <c r="AE89" s="2" t="s">
        <v>177</v>
      </c>
      <c r="AF89" s="150"/>
      <c r="AG89" s="150"/>
      <c r="AH89" s="150"/>
      <c r="AI89" s="39" t="s">
        <v>45</v>
      </c>
      <c r="AL89" s="124">
        <f>IF(ISBLANK(M89),1,2)</f>
        <v>1</v>
      </c>
      <c r="AM89" s="124">
        <f>IF(AND(ISBLANK(W89),ISBLANK(AF89)),1,2)</f>
        <v>1</v>
      </c>
      <c r="AN89" s="86"/>
      <c r="AO89" s="86"/>
      <c r="AP89" s="2"/>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36"/>
    </row>
    <row r="90" spans="2:81" ht="4.95" customHeight="1" x14ac:dyDescent="0.3">
      <c r="AE90" s="2"/>
      <c r="AF90" s="40"/>
      <c r="AG90" s="40"/>
      <c r="AH90" s="40"/>
      <c r="AN90" s="86"/>
      <c r="AO90" s="86"/>
      <c r="AP90" s="2"/>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36"/>
    </row>
    <row r="91" spans="2:81" ht="14.55" customHeight="1" x14ac:dyDescent="0.3">
      <c r="C91" s="93" t="s">
        <v>275</v>
      </c>
      <c r="L91" s="2" t="s">
        <v>276</v>
      </c>
      <c r="M91" s="150"/>
      <c r="N91" s="150"/>
      <c r="O91" s="150"/>
      <c r="P91" s="39" t="s">
        <v>44</v>
      </c>
      <c r="V91" s="2" t="s">
        <v>277</v>
      </c>
      <c r="W91" s="150"/>
      <c r="X91" s="150"/>
      <c r="Y91" s="150"/>
      <c r="Z91" s="39" t="s">
        <v>278</v>
      </c>
      <c r="AN91" s="86" t="s">
        <v>172</v>
      </c>
      <c r="AO91" s="124">
        <f>IF(ISBLANK(K95),1,2)</f>
        <v>1</v>
      </c>
      <c r="AP91" s="2"/>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36"/>
    </row>
    <row r="92" spans="2:81" ht="4.95" customHeight="1" x14ac:dyDescent="0.3">
      <c r="AN92" s="86"/>
      <c r="AO92" s="86"/>
      <c r="AP92" s="2"/>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36"/>
    </row>
    <row r="93" spans="2:81" ht="14.55" customHeight="1" x14ac:dyDescent="0.3">
      <c r="C93" s="93" t="s">
        <v>279</v>
      </c>
      <c r="L93" s="2" t="s">
        <v>276</v>
      </c>
      <c r="M93" s="150"/>
      <c r="N93" s="150"/>
      <c r="O93" s="150"/>
      <c r="P93" s="39" t="s">
        <v>44</v>
      </c>
      <c r="V93" s="2" t="s">
        <v>277</v>
      </c>
      <c r="W93" s="150"/>
      <c r="X93" s="150"/>
      <c r="Y93" s="150"/>
      <c r="Z93" s="39" t="s">
        <v>278</v>
      </c>
      <c r="AE93" s="2" t="s">
        <v>282</v>
      </c>
      <c r="AF93" s="149"/>
      <c r="AG93" s="149"/>
      <c r="AH93" s="149"/>
      <c r="AI93" s="39" t="s">
        <v>283</v>
      </c>
      <c r="AN93" s="86" t="s">
        <v>456</v>
      </c>
      <c r="AO93" s="124">
        <f>IF(AND(ISBLANK(K95),ISBLANK(N95)),1,IF(LEN(K95)&gt;0,1,0))</f>
        <v>1</v>
      </c>
      <c r="AP93" s="2"/>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36"/>
    </row>
    <row r="94" spans="2:81" ht="4.95" customHeight="1" x14ac:dyDescent="0.3">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row>
    <row r="95" spans="2:81" ht="14.55" customHeight="1" x14ac:dyDescent="0.3">
      <c r="B95" s="1" t="s">
        <v>14</v>
      </c>
      <c r="C95" s="1"/>
      <c r="D95" s="1"/>
      <c r="E95" s="1"/>
      <c r="F95" s="1"/>
      <c r="G95" s="1"/>
      <c r="H95" s="1"/>
      <c r="I95" s="1"/>
      <c r="K95" s="70"/>
      <c r="L95" s="39" t="s">
        <v>130</v>
      </c>
      <c r="N95" s="70"/>
      <c r="O95" s="39" t="s">
        <v>131</v>
      </c>
      <c r="Z95" s="2"/>
      <c r="AD95" s="2" t="s">
        <v>153</v>
      </c>
      <c r="AE95" s="70"/>
      <c r="AF95" s="39" t="s">
        <v>130</v>
      </c>
      <c r="AG95" s="44"/>
      <c r="AH95" s="70"/>
      <c r="AI95" s="44" t="s">
        <v>154</v>
      </c>
      <c r="AL95" s="129">
        <f>IF(AND(ISBLANK(AE95),ISBLANK(AH95)),1,2)</f>
        <v>1</v>
      </c>
      <c r="AM95" s="124">
        <f>SUM(AM97,AM98,AM100,AO97,AO98,AO100)</f>
        <v>0</v>
      </c>
      <c r="AN95" s="63" t="s">
        <v>253</v>
      </c>
      <c r="AO95" s="124">
        <f>IF(AND(ISBLANK(K95),ISBLANK(N95)),1,2)</f>
        <v>1</v>
      </c>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row>
    <row r="96" spans="2:81" ht="4.95" customHeight="1" x14ac:dyDescent="0.3">
      <c r="B96" s="1"/>
      <c r="C96" s="1"/>
      <c r="D96" s="1"/>
      <c r="E96" s="1"/>
      <c r="F96" s="1"/>
      <c r="G96" s="1"/>
      <c r="H96" s="1"/>
      <c r="I96" s="1"/>
      <c r="K96" s="4"/>
      <c r="N96" s="4"/>
      <c r="AJ96" s="44"/>
      <c r="AL96" s="89"/>
      <c r="AN96" s="86"/>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row>
    <row r="97" spans="2:80" ht="14.55" customHeight="1" x14ac:dyDescent="0.3">
      <c r="E97" s="2" t="s">
        <v>175</v>
      </c>
      <c r="F97" s="155"/>
      <c r="G97" s="155"/>
      <c r="H97" s="155"/>
      <c r="I97" s="155"/>
      <c r="N97" s="2" t="s">
        <v>176</v>
      </c>
      <c r="O97" s="155"/>
      <c r="P97" s="155"/>
      <c r="Q97" s="155"/>
      <c r="AI97" s="44"/>
      <c r="AJ97" s="44"/>
      <c r="AL97" s="86" t="s">
        <v>24</v>
      </c>
      <c r="AM97" s="124">
        <f>IF(ISBLANK(F97),0,1)</f>
        <v>0</v>
      </c>
      <c r="AN97" s="86" t="s">
        <v>34</v>
      </c>
      <c r="AO97" s="124">
        <f>IF(ISBLANK(O97),0,1)</f>
        <v>0</v>
      </c>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row>
    <row r="98" spans="2:80" ht="14.55" customHeight="1" x14ac:dyDescent="0.3">
      <c r="E98" s="2" t="s">
        <v>173</v>
      </c>
      <c r="F98" s="154"/>
      <c r="G98" s="154"/>
      <c r="H98" s="154"/>
      <c r="I98" s="154"/>
      <c r="J98" s="39" t="s">
        <v>45</v>
      </c>
      <c r="N98" s="2" t="s">
        <v>177</v>
      </c>
      <c r="O98" s="154"/>
      <c r="P98" s="154"/>
      <c r="Q98" s="154"/>
      <c r="R98" s="39" t="s">
        <v>45</v>
      </c>
      <c r="V98" s="2" t="s">
        <v>215</v>
      </c>
      <c r="W98" s="150"/>
      <c r="X98" s="150"/>
      <c r="Y98" s="150"/>
      <c r="Z98" s="39" t="s">
        <v>45</v>
      </c>
      <c r="AE98" s="2" t="s">
        <v>122</v>
      </c>
      <c r="AF98" s="150"/>
      <c r="AG98" s="150"/>
      <c r="AH98" s="150"/>
      <c r="AI98" s="39" t="s">
        <v>45</v>
      </c>
      <c r="AL98" s="86" t="s">
        <v>55</v>
      </c>
      <c r="AM98" s="124">
        <f>IF(ISBLANK(F98),0,1)</f>
        <v>0</v>
      </c>
      <c r="AN98" s="86" t="s">
        <v>81</v>
      </c>
      <c r="AO98" s="124">
        <f>IF(ISBLANK(O98),0,1)</f>
        <v>0</v>
      </c>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row>
    <row r="99" spans="2:80" ht="4.95" customHeight="1" x14ac:dyDescent="0.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L99" s="86"/>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row>
    <row r="100" spans="2:80" ht="15" customHeight="1" x14ac:dyDescent="0.3">
      <c r="B100" s="1" t="s">
        <v>284</v>
      </c>
      <c r="C100" s="1"/>
      <c r="D100" s="1"/>
      <c r="E100" s="1"/>
      <c r="F100" s="1"/>
      <c r="G100" s="1"/>
      <c r="H100" s="1"/>
      <c r="I100" s="1"/>
      <c r="AL100" s="86" t="s">
        <v>82</v>
      </c>
      <c r="AM100" s="124">
        <f>IF(ISBLANK(W98),0,1)</f>
        <v>0</v>
      </c>
      <c r="AN100" s="86" t="s">
        <v>83</v>
      </c>
      <c r="AO100" s="124">
        <f>IF(ISBLANK(AF98),0,1)</f>
        <v>0</v>
      </c>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row>
    <row r="101" spans="2:80" ht="15" customHeight="1" x14ac:dyDescent="0.3">
      <c r="C101" s="143" t="s">
        <v>17</v>
      </c>
      <c r="D101" s="143"/>
      <c r="E101" s="143"/>
      <c r="F101" s="4"/>
      <c r="G101" s="4"/>
      <c r="H101" s="4"/>
      <c r="I101" s="4" t="s">
        <v>18</v>
      </c>
      <c r="K101" s="4"/>
      <c r="L101" s="4"/>
      <c r="M101" s="39" t="s">
        <v>52</v>
      </c>
      <c r="T101" s="4" t="s">
        <v>17</v>
      </c>
      <c r="V101" s="4"/>
      <c r="W101" s="4"/>
      <c r="Y101" s="4" t="s">
        <v>18</v>
      </c>
      <c r="Z101" s="4"/>
      <c r="AB101" s="39" t="s">
        <v>52</v>
      </c>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row>
    <row r="102" spans="2:80" ht="14.55" customHeight="1" x14ac:dyDescent="0.3">
      <c r="C102" s="150"/>
      <c r="D102" s="150"/>
      <c r="E102" s="150"/>
      <c r="F102" s="39" t="s">
        <v>45</v>
      </c>
      <c r="H102" s="162"/>
      <c r="I102" s="162"/>
      <c r="J102" s="162"/>
      <c r="K102" s="39" t="s">
        <v>41</v>
      </c>
      <c r="M102" s="162"/>
      <c r="N102" s="162"/>
      <c r="O102" s="162"/>
      <c r="P102" s="162"/>
      <c r="Q102" s="39" t="s">
        <v>39</v>
      </c>
      <c r="S102" s="150"/>
      <c r="T102" s="150"/>
      <c r="U102" s="150"/>
      <c r="V102" s="39" t="s">
        <v>45</v>
      </c>
      <c r="W102" s="41"/>
      <c r="X102" s="162"/>
      <c r="Y102" s="162"/>
      <c r="Z102" s="162"/>
      <c r="AA102" s="39" t="s">
        <v>41</v>
      </c>
      <c r="AC102" s="162"/>
      <c r="AD102" s="162"/>
      <c r="AE102" s="162"/>
      <c r="AF102" s="162"/>
      <c r="AG102" s="39" t="s">
        <v>39</v>
      </c>
      <c r="AL102" s="124">
        <f t="shared" ref="AL102:AL111" si="5">IF(ISBLANK(C102),1,2)</f>
        <v>1</v>
      </c>
      <c r="AM102" s="124">
        <f t="shared" ref="AM102:AM111" si="6">IF(ISBLANK(S102),1,2)</f>
        <v>1</v>
      </c>
      <c r="AN102" s="124">
        <f>IF(ISBLANK(H102),1,2)</f>
        <v>1</v>
      </c>
      <c r="AO102" s="124">
        <f>IF(ISBLANK(M102),1,2)</f>
        <v>1</v>
      </c>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row>
    <row r="103" spans="2:80" ht="14.55" customHeight="1" x14ac:dyDescent="0.3">
      <c r="C103" s="154"/>
      <c r="D103" s="154"/>
      <c r="E103" s="154"/>
      <c r="F103" s="39" t="s">
        <v>45</v>
      </c>
      <c r="H103" s="160"/>
      <c r="I103" s="160"/>
      <c r="J103" s="160"/>
      <c r="K103" s="39" t="s">
        <v>41</v>
      </c>
      <c r="M103" s="160"/>
      <c r="N103" s="160"/>
      <c r="O103" s="160"/>
      <c r="P103" s="160"/>
      <c r="Q103" s="39" t="s">
        <v>39</v>
      </c>
      <c r="S103" s="154"/>
      <c r="T103" s="154"/>
      <c r="U103" s="154"/>
      <c r="V103" s="39" t="s">
        <v>45</v>
      </c>
      <c r="W103" s="41"/>
      <c r="X103" s="160"/>
      <c r="Y103" s="160"/>
      <c r="Z103" s="160"/>
      <c r="AA103" s="39" t="s">
        <v>41</v>
      </c>
      <c r="AC103" s="160"/>
      <c r="AD103" s="160"/>
      <c r="AE103" s="160"/>
      <c r="AF103" s="160"/>
      <c r="AG103" s="39" t="s">
        <v>39</v>
      </c>
      <c r="AL103" s="124">
        <f t="shared" si="5"/>
        <v>1</v>
      </c>
      <c r="AM103" s="124">
        <f t="shared" si="6"/>
        <v>1</v>
      </c>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row>
    <row r="104" spans="2:80" ht="14.55" customHeight="1" x14ac:dyDescent="0.3">
      <c r="C104" s="154"/>
      <c r="D104" s="154"/>
      <c r="E104" s="154"/>
      <c r="F104" s="39" t="s">
        <v>45</v>
      </c>
      <c r="H104" s="160"/>
      <c r="I104" s="160"/>
      <c r="J104" s="160"/>
      <c r="K104" s="39" t="s">
        <v>41</v>
      </c>
      <c r="M104" s="160"/>
      <c r="N104" s="160"/>
      <c r="O104" s="160"/>
      <c r="P104" s="160"/>
      <c r="Q104" s="39" t="s">
        <v>39</v>
      </c>
      <c r="S104" s="154"/>
      <c r="T104" s="154"/>
      <c r="U104" s="154"/>
      <c r="V104" s="39" t="s">
        <v>45</v>
      </c>
      <c r="W104" s="41"/>
      <c r="X104" s="160"/>
      <c r="Y104" s="160"/>
      <c r="Z104" s="160"/>
      <c r="AA104" s="39" t="s">
        <v>41</v>
      </c>
      <c r="AC104" s="160"/>
      <c r="AD104" s="160"/>
      <c r="AE104" s="160"/>
      <c r="AF104" s="160"/>
      <c r="AG104" s="39" t="s">
        <v>39</v>
      </c>
      <c r="AL104" s="124">
        <f t="shared" si="5"/>
        <v>1</v>
      </c>
      <c r="AM104" s="124">
        <f t="shared" si="6"/>
        <v>1</v>
      </c>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row>
    <row r="105" spans="2:80" ht="14.55" customHeight="1" x14ac:dyDescent="0.3">
      <c r="C105" s="154"/>
      <c r="D105" s="154"/>
      <c r="E105" s="154"/>
      <c r="F105" s="39" t="s">
        <v>45</v>
      </c>
      <c r="H105" s="160"/>
      <c r="I105" s="160"/>
      <c r="J105" s="160"/>
      <c r="K105" s="39" t="s">
        <v>41</v>
      </c>
      <c r="M105" s="160"/>
      <c r="N105" s="160"/>
      <c r="O105" s="160"/>
      <c r="P105" s="160"/>
      <c r="Q105" s="39" t="s">
        <v>39</v>
      </c>
      <c r="S105" s="154"/>
      <c r="T105" s="154"/>
      <c r="U105" s="154"/>
      <c r="V105" s="39" t="s">
        <v>45</v>
      </c>
      <c r="W105" s="41"/>
      <c r="X105" s="160"/>
      <c r="Y105" s="160"/>
      <c r="Z105" s="160"/>
      <c r="AA105" s="39" t="s">
        <v>41</v>
      </c>
      <c r="AC105" s="160"/>
      <c r="AD105" s="160"/>
      <c r="AE105" s="160"/>
      <c r="AF105" s="160"/>
      <c r="AG105" s="39" t="s">
        <v>39</v>
      </c>
      <c r="AL105" s="124">
        <f t="shared" si="5"/>
        <v>1</v>
      </c>
      <c r="AM105" s="124">
        <f t="shared" si="6"/>
        <v>1</v>
      </c>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row>
    <row r="106" spans="2:80" ht="14.55" customHeight="1" x14ac:dyDescent="0.3">
      <c r="C106" s="154"/>
      <c r="D106" s="154"/>
      <c r="E106" s="154"/>
      <c r="F106" s="39" t="s">
        <v>45</v>
      </c>
      <c r="H106" s="160"/>
      <c r="I106" s="160"/>
      <c r="J106" s="160"/>
      <c r="K106" s="39" t="s">
        <v>41</v>
      </c>
      <c r="M106" s="160"/>
      <c r="N106" s="160"/>
      <c r="O106" s="160"/>
      <c r="P106" s="160"/>
      <c r="Q106" s="39" t="s">
        <v>39</v>
      </c>
      <c r="S106" s="154"/>
      <c r="T106" s="154"/>
      <c r="U106" s="154"/>
      <c r="V106" s="39" t="s">
        <v>45</v>
      </c>
      <c r="W106" s="41"/>
      <c r="X106" s="160"/>
      <c r="Y106" s="160"/>
      <c r="Z106" s="160"/>
      <c r="AA106" s="39" t="s">
        <v>41</v>
      </c>
      <c r="AC106" s="160"/>
      <c r="AD106" s="160"/>
      <c r="AE106" s="160"/>
      <c r="AF106" s="160"/>
      <c r="AG106" s="39" t="s">
        <v>39</v>
      </c>
      <c r="AL106" s="124">
        <f t="shared" si="5"/>
        <v>1</v>
      </c>
      <c r="AM106" s="124">
        <f t="shared" si="6"/>
        <v>1</v>
      </c>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row>
    <row r="107" spans="2:80" ht="14.55" customHeight="1" x14ac:dyDescent="0.3">
      <c r="C107" s="154"/>
      <c r="D107" s="154"/>
      <c r="E107" s="154"/>
      <c r="F107" s="39" t="s">
        <v>45</v>
      </c>
      <c r="H107" s="160"/>
      <c r="I107" s="160"/>
      <c r="J107" s="160"/>
      <c r="K107" s="39" t="s">
        <v>41</v>
      </c>
      <c r="M107" s="160"/>
      <c r="N107" s="160"/>
      <c r="O107" s="160"/>
      <c r="P107" s="160"/>
      <c r="Q107" s="39" t="s">
        <v>39</v>
      </c>
      <c r="S107" s="154"/>
      <c r="T107" s="154"/>
      <c r="U107" s="154"/>
      <c r="V107" s="39" t="s">
        <v>45</v>
      </c>
      <c r="W107" s="41"/>
      <c r="X107" s="160"/>
      <c r="Y107" s="160"/>
      <c r="Z107" s="160"/>
      <c r="AA107" s="39" t="s">
        <v>41</v>
      </c>
      <c r="AC107" s="160"/>
      <c r="AD107" s="160"/>
      <c r="AE107" s="160"/>
      <c r="AF107" s="160"/>
      <c r="AG107" s="39" t="s">
        <v>39</v>
      </c>
      <c r="AL107" s="124">
        <f t="shared" si="5"/>
        <v>1</v>
      </c>
      <c r="AM107" s="124">
        <f t="shared" si="6"/>
        <v>1</v>
      </c>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row>
    <row r="108" spans="2:80" ht="14.55" customHeight="1" x14ac:dyDescent="0.3">
      <c r="C108" s="154"/>
      <c r="D108" s="154"/>
      <c r="E108" s="154"/>
      <c r="F108" s="39" t="s">
        <v>45</v>
      </c>
      <c r="H108" s="160"/>
      <c r="I108" s="160"/>
      <c r="J108" s="160"/>
      <c r="K108" s="39" t="s">
        <v>41</v>
      </c>
      <c r="M108" s="160"/>
      <c r="N108" s="160"/>
      <c r="O108" s="160"/>
      <c r="P108" s="160"/>
      <c r="Q108" s="39" t="s">
        <v>39</v>
      </c>
      <c r="S108" s="154"/>
      <c r="T108" s="154"/>
      <c r="U108" s="154"/>
      <c r="V108" s="39" t="s">
        <v>45</v>
      </c>
      <c r="W108" s="41"/>
      <c r="X108" s="160"/>
      <c r="Y108" s="160"/>
      <c r="Z108" s="160"/>
      <c r="AA108" s="39" t="s">
        <v>41</v>
      </c>
      <c r="AC108" s="160"/>
      <c r="AD108" s="160"/>
      <c r="AE108" s="160"/>
      <c r="AF108" s="160"/>
      <c r="AG108" s="39" t="s">
        <v>39</v>
      </c>
      <c r="AL108" s="124">
        <f t="shared" si="5"/>
        <v>1</v>
      </c>
      <c r="AM108" s="124">
        <f t="shared" si="6"/>
        <v>1</v>
      </c>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row>
    <row r="109" spans="2:80" ht="14.55" customHeight="1" x14ac:dyDescent="0.3">
      <c r="C109" s="154"/>
      <c r="D109" s="154"/>
      <c r="E109" s="154"/>
      <c r="F109" s="39" t="s">
        <v>45</v>
      </c>
      <c r="H109" s="160"/>
      <c r="I109" s="160"/>
      <c r="J109" s="160"/>
      <c r="K109" s="39" t="s">
        <v>41</v>
      </c>
      <c r="M109" s="160"/>
      <c r="N109" s="160"/>
      <c r="O109" s="160"/>
      <c r="P109" s="160"/>
      <c r="Q109" s="39" t="s">
        <v>39</v>
      </c>
      <c r="S109" s="154"/>
      <c r="T109" s="154"/>
      <c r="U109" s="154"/>
      <c r="V109" s="39" t="s">
        <v>45</v>
      </c>
      <c r="W109" s="41"/>
      <c r="X109" s="160"/>
      <c r="Y109" s="160"/>
      <c r="Z109" s="160"/>
      <c r="AA109" s="39" t="s">
        <v>41</v>
      </c>
      <c r="AC109" s="160"/>
      <c r="AD109" s="160"/>
      <c r="AE109" s="160"/>
      <c r="AF109" s="160"/>
      <c r="AG109" s="39" t="s">
        <v>39</v>
      </c>
      <c r="AL109" s="124">
        <f t="shared" si="5"/>
        <v>1</v>
      </c>
      <c r="AM109" s="124">
        <f t="shared" si="6"/>
        <v>1</v>
      </c>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row>
    <row r="110" spans="2:80" ht="14.55" customHeight="1" x14ac:dyDescent="0.3">
      <c r="C110" s="154"/>
      <c r="D110" s="154"/>
      <c r="E110" s="154"/>
      <c r="F110" s="39" t="s">
        <v>45</v>
      </c>
      <c r="H110" s="160"/>
      <c r="I110" s="160"/>
      <c r="J110" s="160"/>
      <c r="K110" s="39" t="s">
        <v>41</v>
      </c>
      <c r="M110" s="160"/>
      <c r="N110" s="160"/>
      <c r="O110" s="160"/>
      <c r="P110" s="160"/>
      <c r="Q110" s="39" t="s">
        <v>39</v>
      </c>
      <c r="S110" s="154"/>
      <c r="T110" s="154"/>
      <c r="U110" s="154"/>
      <c r="V110" s="39" t="s">
        <v>45</v>
      </c>
      <c r="W110" s="41"/>
      <c r="X110" s="160"/>
      <c r="Y110" s="160"/>
      <c r="Z110" s="160"/>
      <c r="AA110" s="39" t="s">
        <v>41</v>
      </c>
      <c r="AC110" s="160"/>
      <c r="AD110" s="160"/>
      <c r="AE110" s="160"/>
      <c r="AF110" s="160"/>
      <c r="AG110" s="39" t="s">
        <v>39</v>
      </c>
      <c r="AL110" s="124">
        <f t="shared" si="5"/>
        <v>1</v>
      </c>
      <c r="AM110" s="124">
        <f t="shared" si="6"/>
        <v>1</v>
      </c>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row>
    <row r="111" spans="2:80" ht="14.55" customHeight="1" x14ac:dyDescent="0.3">
      <c r="C111" s="154"/>
      <c r="D111" s="154"/>
      <c r="E111" s="154"/>
      <c r="F111" s="39" t="s">
        <v>45</v>
      </c>
      <c r="H111" s="160"/>
      <c r="I111" s="160"/>
      <c r="J111" s="160"/>
      <c r="K111" s="39" t="s">
        <v>41</v>
      </c>
      <c r="M111" s="160"/>
      <c r="N111" s="160"/>
      <c r="O111" s="160"/>
      <c r="P111" s="160"/>
      <c r="Q111" s="39" t="s">
        <v>39</v>
      </c>
      <c r="S111" s="154"/>
      <c r="T111" s="154"/>
      <c r="U111" s="154"/>
      <c r="V111" s="39" t="s">
        <v>45</v>
      </c>
      <c r="W111" s="41"/>
      <c r="X111" s="160"/>
      <c r="Y111" s="160"/>
      <c r="Z111" s="160"/>
      <c r="AA111" s="39" t="s">
        <v>41</v>
      </c>
      <c r="AC111" s="160"/>
      <c r="AD111" s="160"/>
      <c r="AE111" s="160"/>
      <c r="AF111" s="160"/>
      <c r="AG111" s="39" t="s">
        <v>39</v>
      </c>
      <c r="AL111" s="124">
        <f t="shared" si="5"/>
        <v>1</v>
      </c>
      <c r="AM111" s="124">
        <f t="shared" si="6"/>
        <v>1</v>
      </c>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row>
    <row r="112" spans="2:80" ht="14.55" customHeight="1" x14ac:dyDescent="0.3">
      <c r="G112" s="40" t="s">
        <v>53</v>
      </c>
      <c r="H112" s="159">
        <f>$W$27</f>
        <v>0</v>
      </c>
      <c r="I112" s="159"/>
      <c r="J112" s="159"/>
      <c r="K112" s="39" t="s">
        <v>39</v>
      </c>
      <c r="O112" s="90"/>
      <c r="P112" s="48"/>
      <c r="R112" s="40" t="s">
        <v>54</v>
      </c>
      <c r="S112" s="160"/>
      <c r="T112" s="160"/>
      <c r="U112" s="160"/>
      <c r="V112" s="39" t="s">
        <v>39</v>
      </c>
      <c r="AB112" s="48" t="s">
        <v>444</v>
      </c>
      <c r="AC112" s="153"/>
      <c r="AD112" s="153"/>
      <c r="AE112" s="153"/>
      <c r="AF112" s="153"/>
      <c r="AG112" s="39" t="s">
        <v>45</v>
      </c>
      <c r="AL112" s="86" t="s">
        <v>160</v>
      </c>
      <c r="AM112" s="124">
        <f>IF(OR(S112=H112,S112&gt;H112),1,2)</f>
        <v>1</v>
      </c>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row>
    <row r="113" spans="2:80" ht="15" customHeight="1" x14ac:dyDescent="0.3">
      <c r="AK113" s="41"/>
      <c r="AM113" s="124">
        <f>IF(OR(ISBLANK(H112),ISBLANK(S112)),2,1)</f>
        <v>2</v>
      </c>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row>
    <row r="114" spans="2:80" ht="15" customHeight="1" x14ac:dyDescent="0.3">
      <c r="B114" s="142">
        <f>Tables!$C$13</f>
        <v>45383</v>
      </c>
      <c r="C114" s="142"/>
      <c r="D114" s="142"/>
      <c r="E114" s="142"/>
      <c r="F114" s="142"/>
      <c r="G114" s="142"/>
      <c r="H114" s="142"/>
      <c r="R114" s="143" t="s">
        <v>349</v>
      </c>
      <c r="S114" s="143"/>
      <c r="T114" s="143"/>
      <c r="U114" s="143"/>
      <c r="AK114" s="41"/>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row>
    <row r="115" spans="2:80" ht="15" customHeight="1" x14ac:dyDescent="0.3">
      <c r="C115" s="2" t="s">
        <v>1</v>
      </c>
      <c r="D115" s="145">
        <f>IF(ISBLANK($E$13),0,$E$13)</f>
        <v>0</v>
      </c>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46"/>
      <c r="AD115" s="2" t="s">
        <v>21</v>
      </c>
      <c r="AE115" s="146">
        <f>IF(ISBLANK($AE$13),0,$AE$13)</f>
        <v>0</v>
      </c>
      <c r="AF115" s="146"/>
      <c r="AG115" s="146"/>
      <c r="AH115" s="146"/>
      <c r="AI115" s="146"/>
      <c r="AJ115" s="146"/>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row>
    <row r="116" spans="2:80" ht="15" customHeight="1" x14ac:dyDescent="0.3">
      <c r="C116" s="47"/>
      <c r="D116" s="47"/>
      <c r="E116" s="47"/>
      <c r="F116" s="47"/>
      <c r="G116" s="47"/>
      <c r="H116" s="47"/>
      <c r="I116" s="47"/>
      <c r="J116" s="2"/>
      <c r="K116" s="2"/>
      <c r="L116" s="2"/>
      <c r="M116" s="2"/>
      <c r="N116" s="47"/>
      <c r="O116" s="46"/>
      <c r="P116" s="46"/>
      <c r="Q116" s="46"/>
      <c r="R116" s="46"/>
      <c r="S116" s="46"/>
      <c r="T116" s="46"/>
      <c r="U116" s="46"/>
      <c r="V116" s="46"/>
      <c r="W116" s="46"/>
      <c r="X116" s="46"/>
      <c r="Y116" s="46"/>
      <c r="Z116" s="46"/>
      <c r="AD116" s="2" t="s">
        <v>35</v>
      </c>
      <c r="AE116" s="147">
        <f>IF(ISBLANK($AE$14),0,$AE$14)</f>
        <v>0</v>
      </c>
      <c r="AF116" s="147"/>
      <c r="AG116" s="147"/>
      <c r="AH116" s="147"/>
      <c r="AI116" s="147"/>
      <c r="AJ116" s="147"/>
      <c r="AL116" s="86" t="s">
        <v>157</v>
      </c>
      <c r="AM116" s="124">
        <f>SUM(AM117,AO117)</f>
        <v>0</v>
      </c>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row>
    <row r="117" spans="2:80" ht="15" customHeight="1" x14ac:dyDescent="0.3">
      <c r="B117" s="1" t="s">
        <v>15</v>
      </c>
      <c r="N117" s="42" t="s">
        <v>48</v>
      </c>
      <c r="O117" s="177"/>
      <c r="P117" s="177"/>
      <c r="Q117" s="177"/>
      <c r="R117" s="177"/>
      <c r="V117" s="2" t="s">
        <v>49</v>
      </c>
      <c r="W117" s="178"/>
      <c r="X117" s="178"/>
      <c r="Y117" s="178"/>
      <c r="Z117" s="178"/>
      <c r="AL117" s="86" t="s">
        <v>155</v>
      </c>
      <c r="AM117" s="124">
        <f>IF(ISBLANK(O117),0,1)</f>
        <v>0</v>
      </c>
      <c r="AN117" s="86" t="s">
        <v>156</v>
      </c>
      <c r="AO117" s="124">
        <f>IF(ISBLANK(W117),0,1)</f>
        <v>0</v>
      </c>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row>
    <row r="118" spans="2:80" ht="15" customHeight="1" x14ac:dyDescent="0.3">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row>
    <row r="119" spans="2:80" ht="15" customHeight="1" x14ac:dyDescent="0.3">
      <c r="Q119" s="143" t="s">
        <v>265</v>
      </c>
      <c r="R119" s="143"/>
      <c r="S119" s="143"/>
      <c r="T119" s="143"/>
      <c r="U119" s="143"/>
      <c r="V119" s="143"/>
      <c r="W119" s="143"/>
      <c r="AL119" s="13" t="s">
        <v>78</v>
      </c>
      <c r="AM119" s="13" t="s">
        <v>388</v>
      </c>
      <c r="AN119" s="13" t="s">
        <v>79</v>
      </c>
      <c r="AO119" s="13" t="s">
        <v>79</v>
      </c>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row>
    <row r="120" spans="2:80" ht="30" customHeight="1" x14ac:dyDescent="0.3">
      <c r="B120" s="1" t="s">
        <v>250</v>
      </c>
      <c r="J120" s="1"/>
      <c r="K120" s="1"/>
      <c r="L120" s="1"/>
      <c r="M120" s="161" t="s">
        <v>65</v>
      </c>
      <c r="N120" s="161"/>
      <c r="O120" s="161"/>
      <c r="P120" s="91"/>
      <c r="Q120" s="161" t="s">
        <v>251</v>
      </c>
      <c r="R120" s="161"/>
      <c r="S120" s="161"/>
      <c r="T120" s="91"/>
      <c r="U120" s="161" t="s">
        <v>252</v>
      </c>
      <c r="V120" s="161"/>
      <c r="W120" s="161"/>
      <c r="X120" s="161" t="s">
        <v>445</v>
      </c>
      <c r="Y120" s="161"/>
      <c r="Z120" s="161"/>
      <c r="AA120" s="161"/>
      <c r="AB120" s="161"/>
      <c r="AC120" s="161" t="s">
        <v>361</v>
      </c>
      <c r="AD120" s="161"/>
      <c r="AE120" s="161"/>
      <c r="AF120" s="91"/>
      <c r="AG120" s="161" t="s">
        <v>66</v>
      </c>
      <c r="AH120" s="161"/>
      <c r="AI120" s="161"/>
      <c r="AJ120" s="161"/>
      <c r="AL120" s="124">
        <f>SUM(AL121:AL125)</f>
        <v>5</v>
      </c>
      <c r="AM120" s="124">
        <f>SUM(AM121:AM126)</f>
        <v>6</v>
      </c>
      <c r="AN120" s="124">
        <f>SUM(AN121:AN126)</f>
        <v>6</v>
      </c>
      <c r="AO120" s="128">
        <f>SUM(AO121:AO126)</f>
        <v>6</v>
      </c>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row>
    <row r="121" spans="2:80" ht="15" customHeight="1" x14ac:dyDescent="0.3">
      <c r="E121" s="41"/>
      <c r="F121" s="41"/>
      <c r="G121" s="158">
        <f>Tables!$C$16</f>
        <v>4.21</v>
      </c>
      <c r="H121" s="158"/>
      <c r="K121" s="2" t="str">
        <f>Tables!$A$16</f>
        <v>(2-yr)</v>
      </c>
      <c r="L121" s="2"/>
      <c r="M121" s="157"/>
      <c r="N121" s="157"/>
      <c r="O121" s="157"/>
      <c r="P121" s="6"/>
      <c r="Q121" s="157"/>
      <c r="R121" s="157"/>
      <c r="S121" s="157"/>
      <c r="U121" s="157"/>
      <c r="V121" s="157"/>
      <c r="W121" s="157"/>
      <c r="Y121" s="157"/>
      <c r="Z121" s="157"/>
      <c r="AA121" s="157"/>
      <c r="AC121" s="157"/>
      <c r="AD121" s="157"/>
      <c r="AE121" s="157"/>
      <c r="AG121" s="157"/>
      <c r="AH121" s="157"/>
      <c r="AI121" s="157"/>
      <c r="AL121" s="124">
        <f>IF(ISBLANK(Y121),1,IF(Y121&gt;W$98,1,0))</f>
        <v>1</v>
      </c>
      <c r="AM121" s="124">
        <f>IF(ISBLANK(AC121),1,IF(AC121&gt;$AM$129,1,0))</f>
        <v>1</v>
      </c>
      <c r="AN121" s="124">
        <f>IF(OR(ISBLANK(M121),ISBLANK(AG121)),1,IF(AG121&gt;M121,1,0))</f>
        <v>1</v>
      </c>
      <c r="AO121" s="128">
        <f>IF(OR(ISBLANK(M121),ISBLANK(AG121)),1,IF(AG121-M121&gt;-0.5,1,0))</f>
        <v>1</v>
      </c>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row>
    <row r="122" spans="2:80" ht="15" customHeight="1" x14ac:dyDescent="0.3">
      <c r="E122" s="41"/>
      <c r="F122" s="41"/>
      <c r="G122" s="158">
        <f>Tables!$C$17</f>
        <v>5.24</v>
      </c>
      <c r="H122" s="158"/>
      <c r="K122" s="2" t="str">
        <f>Tables!$A$17</f>
        <v>(5-yr)</v>
      </c>
      <c r="L122" s="2"/>
      <c r="M122" s="157"/>
      <c r="N122" s="157"/>
      <c r="O122" s="157"/>
      <c r="P122" s="6"/>
      <c r="Q122" s="153"/>
      <c r="R122" s="153"/>
      <c r="S122" s="153"/>
      <c r="U122" s="153"/>
      <c r="V122" s="153"/>
      <c r="W122" s="153"/>
      <c r="Y122" s="153"/>
      <c r="Z122" s="153"/>
      <c r="AA122" s="153"/>
      <c r="AC122" s="153"/>
      <c r="AD122" s="153"/>
      <c r="AE122" s="153"/>
      <c r="AG122" s="153"/>
      <c r="AH122" s="153"/>
      <c r="AI122" s="153"/>
      <c r="AL122" s="124">
        <f t="shared" ref="AL122:AL125" si="7">IF(ISBLANK(Y122),1,IF(Y122&gt;W$98,1,0))</f>
        <v>1</v>
      </c>
      <c r="AM122" s="124">
        <f t="shared" ref="AM122:AM126" si="8">IF(ISBLANK(AC122),1,IF(AC122&gt;$AM$129,1,0))</f>
        <v>1</v>
      </c>
      <c r="AN122" s="124">
        <f t="shared" ref="AN122:AN126" si="9">IF(OR(ISBLANK(M122),ISBLANK(AG122)),1,IF(AG122&gt;M122,1,0))</f>
        <v>1</v>
      </c>
      <c r="AO122" s="128">
        <f>IF(OR(ISBLANK(M122),ISBLANK(AG122)),1,IF(AG122-M122&gt;-0.5,1,0))</f>
        <v>1</v>
      </c>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row>
    <row r="123" spans="2:80" ht="15" customHeight="1" x14ac:dyDescent="0.3">
      <c r="E123" s="41"/>
      <c r="F123" s="41"/>
      <c r="G123" s="158">
        <f>Tables!$C$18</f>
        <v>6.17</v>
      </c>
      <c r="H123" s="158"/>
      <c r="K123" s="2" t="str">
        <f>Tables!$A$18</f>
        <v>(10-yr)</v>
      </c>
      <c r="L123" s="2"/>
      <c r="M123" s="157"/>
      <c r="N123" s="157"/>
      <c r="O123" s="157"/>
      <c r="P123" s="6"/>
      <c r="Q123" s="153"/>
      <c r="R123" s="153"/>
      <c r="S123" s="153"/>
      <c r="U123" s="153"/>
      <c r="V123" s="153"/>
      <c r="W123" s="153"/>
      <c r="Y123" s="153"/>
      <c r="Z123" s="153"/>
      <c r="AA123" s="153"/>
      <c r="AC123" s="153"/>
      <c r="AD123" s="153"/>
      <c r="AE123" s="153"/>
      <c r="AG123" s="153"/>
      <c r="AH123" s="153"/>
      <c r="AI123" s="153"/>
      <c r="AL123" s="124">
        <f t="shared" si="7"/>
        <v>1</v>
      </c>
      <c r="AM123" s="124">
        <f t="shared" si="8"/>
        <v>1</v>
      </c>
      <c r="AN123" s="124">
        <f t="shared" si="9"/>
        <v>1</v>
      </c>
      <c r="AO123" s="128">
        <f t="shared" ref="AO123:AO126" si="10">IF(OR(ISBLANK(M123),ISBLANK(AG123)),1,IF(AG123-M123&gt;-0.5,1,0))</f>
        <v>1</v>
      </c>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row>
    <row r="124" spans="2:80" ht="15" customHeight="1" x14ac:dyDescent="0.3">
      <c r="E124" s="41"/>
      <c r="F124" s="41"/>
      <c r="G124" s="158">
        <f>Tables!$C$19</f>
        <v>7.55</v>
      </c>
      <c r="H124" s="158"/>
      <c r="K124" s="2" t="str">
        <f>Tables!$A$19</f>
        <v>(25-yr)</v>
      </c>
      <c r="L124" s="2"/>
      <c r="M124" s="157"/>
      <c r="N124" s="157"/>
      <c r="O124" s="157"/>
      <c r="P124" s="6"/>
      <c r="Q124" s="153"/>
      <c r="R124" s="153"/>
      <c r="S124" s="153"/>
      <c r="U124" s="153"/>
      <c r="V124" s="153"/>
      <c r="W124" s="153"/>
      <c r="Y124" s="153"/>
      <c r="Z124" s="153"/>
      <c r="AA124" s="153"/>
      <c r="AC124" s="153"/>
      <c r="AD124" s="153"/>
      <c r="AE124" s="153"/>
      <c r="AG124" s="153"/>
      <c r="AH124" s="153"/>
      <c r="AI124" s="153"/>
      <c r="AL124" s="124">
        <f t="shared" si="7"/>
        <v>1</v>
      </c>
      <c r="AM124" s="124">
        <f t="shared" si="8"/>
        <v>1</v>
      </c>
      <c r="AN124" s="124">
        <f t="shared" si="9"/>
        <v>1</v>
      </c>
      <c r="AO124" s="128">
        <f t="shared" si="10"/>
        <v>1</v>
      </c>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row>
    <row r="125" spans="2:80" ht="15" customHeight="1" x14ac:dyDescent="0.3">
      <c r="E125" s="41"/>
      <c r="F125" s="41"/>
      <c r="G125" s="158">
        <f>Tables!$C$20</f>
        <v>8.6999999999999993</v>
      </c>
      <c r="H125" s="158"/>
      <c r="K125" s="2" t="str">
        <f>Tables!$A$20</f>
        <v>(50-yr)</v>
      </c>
      <c r="L125" s="2"/>
      <c r="M125" s="157"/>
      <c r="N125" s="157"/>
      <c r="O125" s="157"/>
      <c r="P125" s="6"/>
      <c r="Q125" s="153"/>
      <c r="R125" s="153"/>
      <c r="S125" s="153"/>
      <c r="U125" s="153"/>
      <c r="V125" s="153"/>
      <c r="W125" s="153"/>
      <c r="Y125" s="153"/>
      <c r="Z125" s="153"/>
      <c r="AA125" s="153"/>
      <c r="AC125" s="153"/>
      <c r="AD125" s="153"/>
      <c r="AE125" s="153"/>
      <c r="AG125" s="153"/>
      <c r="AH125" s="153"/>
      <c r="AI125" s="153"/>
      <c r="AL125" s="124">
        <f t="shared" si="7"/>
        <v>1</v>
      </c>
      <c r="AM125" s="124">
        <f t="shared" si="8"/>
        <v>1</v>
      </c>
      <c r="AN125" s="124">
        <f t="shared" si="9"/>
        <v>1</v>
      </c>
      <c r="AO125" s="128">
        <f t="shared" si="10"/>
        <v>1</v>
      </c>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row>
    <row r="126" spans="2:80" ht="15" customHeight="1" x14ac:dyDescent="0.3">
      <c r="E126" s="41"/>
      <c r="F126" s="41"/>
      <c r="G126" s="158">
        <f>Tables!$C$21</f>
        <v>9.93</v>
      </c>
      <c r="H126" s="158"/>
      <c r="K126" s="2" t="str">
        <f>Tables!$A$21</f>
        <v>(100-yr)</v>
      </c>
      <c r="L126" s="2"/>
      <c r="M126" s="157"/>
      <c r="N126" s="157"/>
      <c r="O126" s="157"/>
      <c r="P126" s="6"/>
      <c r="Q126" s="153"/>
      <c r="R126" s="153"/>
      <c r="S126" s="153"/>
      <c r="U126" s="153"/>
      <c r="V126" s="153"/>
      <c r="W126" s="153"/>
      <c r="Y126" s="153"/>
      <c r="Z126" s="153"/>
      <c r="AA126" s="153"/>
      <c r="AC126" s="153"/>
      <c r="AD126" s="153"/>
      <c r="AE126" s="153"/>
      <c r="AG126" s="153"/>
      <c r="AH126" s="153"/>
      <c r="AI126" s="153"/>
      <c r="AL126" s="130">
        <f>AF98-Y126</f>
        <v>0</v>
      </c>
      <c r="AM126" s="124">
        <f t="shared" si="8"/>
        <v>1</v>
      </c>
      <c r="AN126" s="124">
        <f t="shared" si="9"/>
        <v>1</v>
      </c>
      <c r="AO126" s="128">
        <f t="shared" si="10"/>
        <v>1</v>
      </c>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row>
    <row r="127" spans="2:80" ht="15" customHeight="1" x14ac:dyDescent="0.3"/>
    <row r="128" spans="2:80" ht="15" customHeight="1" x14ac:dyDescent="0.3">
      <c r="B128" s="5" t="s">
        <v>23</v>
      </c>
    </row>
    <row r="129" spans="2:81" ht="15" customHeight="1" x14ac:dyDescent="0.3">
      <c r="B129" s="168"/>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70"/>
      <c r="AL129" s="86" t="s">
        <v>453</v>
      </c>
      <c r="AM129" s="130">
        <f>Tables!C26</f>
        <v>6</v>
      </c>
    </row>
    <row r="130" spans="2:81" ht="15" customHeight="1" x14ac:dyDescent="0.3">
      <c r="B130" s="171"/>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3"/>
    </row>
    <row r="131" spans="2:81" ht="15" customHeight="1" x14ac:dyDescent="0.3">
      <c r="B131" s="171"/>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3"/>
    </row>
    <row r="132" spans="2:81" ht="15" customHeight="1" x14ac:dyDescent="0.3">
      <c r="B132" s="171"/>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3"/>
    </row>
    <row r="133" spans="2:81" ht="15" customHeight="1" x14ac:dyDescent="0.3">
      <c r="B133" s="171"/>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3"/>
    </row>
    <row r="134" spans="2:81" ht="15" customHeight="1" x14ac:dyDescent="0.3">
      <c r="B134" s="171"/>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3"/>
    </row>
    <row r="135" spans="2:81" ht="15" customHeight="1" x14ac:dyDescent="0.3">
      <c r="B135" s="171"/>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3"/>
    </row>
    <row r="136" spans="2:81" ht="15" customHeight="1" x14ac:dyDescent="0.3">
      <c r="B136" s="174"/>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6"/>
    </row>
    <row r="137" spans="2:81" ht="15" customHeight="1" x14ac:dyDescent="0.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2:81" ht="15" customHeight="1" x14ac:dyDescent="0.3">
      <c r="B138" s="1" t="s">
        <v>19</v>
      </c>
      <c r="C138" s="1"/>
      <c r="D138" s="1"/>
      <c r="E138" s="1"/>
      <c r="F138" s="1"/>
      <c r="G138" s="1"/>
      <c r="H138" s="1"/>
      <c r="I138" s="1"/>
    </row>
    <row r="139" spans="2:81" ht="15" customHeight="1" x14ac:dyDescent="0.3">
      <c r="B139" s="112" t="s">
        <v>393</v>
      </c>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CC139" s="112"/>
    </row>
    <row r="140" spans="2:81" ht="15" customHeight="1" x14ac:dyDescent="0.3">
      <c r="B140" s="67"/>
      <c r="C140" s="75" t="s">
        <v>116</v>
      </c>
      <c r="D140" s="112" t="str">
        <f>"Is designed in accordance with the latest version of the "&amp;Tables!C23&amp;"'s requirements;"</f>
        <v>Is designed in accordance with the latest version of the City's requirements;</v>
      </c>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CC140" s="112"/>
    </row>
    <row r="141" spans="2:81" ht="15" customHeight="1" x14ac:dyDescent="0.3">
      <c r="B141" s="67"/>
      <c r="C141" s="75" t="s">
        <v>116</v>
      </c>
      <c r="D141" s="112" t="s">
        <v>389</v>
      </c>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CC141" s="112"/>
    </row>
    <row r="142" spans="2:81" ht="15" customHeight="1" x14ac:dyDescent="0.3">
      <c r="B142" s="67"/>
      <c r="C142" s="75" t="s">
        <v>116</v>
      </c>
      <c r="D142" s="112" t="s">
        <v>390</v>
      </c>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CC142" s="112"/>
    </row>
    <row r="143" spans="2:81" ht="15" customHeight="1" x14ac:dyDescent="0.3">
      <c r="B143" s="67"/>
      <c r="C143" s="75" t="s">
        <v>116</v>
      </c>
      <c r="D143" s="112" t="s">
        <v>391</v>
      </c>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CC143" s="112"/>
    </row>
    <row r="144" spans="2:81" ht="15" customHeight="1" x14ac:dyDescent="0.3">
      <c r="B144" s="67"/>
      <c r="C144" s="75" t="s">
        <v>116</v>
      </c>
      <c r="D144" s="112" t="s">
        <v>392</v>
      </c>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CC144" s="112"/>
    </row>
    <row r="145" spans="2:81" ht="15" customHeight="1" x14ac:dyDescent="0.3">
      <c r="E145" s="2" t="s">
        <v>205</v>
      </c>
      <c r="F145" s="155"/>
      <c r="G145" s="155"/>
      <c r="H145" s="155"/>
      <c r="I145" s="155"/>
      <c r="J145" s="155"/>
      <c r="K145" s="155"/>
      <c r="L145" s="155"/>
      <c r="M145" s="155"/>
      <c r="N145" s="155"/>
      <c r="O145" s="155"/>
      <c r="P145" s="155"/>
      <c r="Q145" s="155"/>
      <c r="R145" s="155"/>
      <c r="S145" s="155"/>
      <c r="T145" s="155"/>
      <c r="U145" s="155"/>
      <c r="V145" s="155"/>
      <c r="W145" s="155"/>
      <c r="X145" s="155"/>
      <c r="Y145" s="155"/>
      <c r="Z145" s="155"/>
      <c r="AC145" s="2" t="s">
        <v>466</v>
      </c>
      <c r="AD145" s="2"/>
      <c r="AE145" s="2"/>
      <c r="AF145" s="2"/>
      <c r="CC145" s="112"/>
    </row>
    <row r="146" spans="2:81" ht="15" customHeight="1" x14ac:dyDescent="0.3">
      <c r="E146" s="2" t="s">
        <v>144</v>
      </c>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2:81" ht="15" customHeight="1" x14ac:dyDescent="0.3">
      <c r="E147" s="2" t="s">
        <v>145</v>
      </c>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2:81" ht="15" customHeight="1" x14ac:dyDescent="0.3">
      <c r="E148" s="2" t="s">
        <v>446</v>
      </c>
      <c r="F148" s="167"/>
      <c r="G148" s="167"/>
      <c r="H148" s="167"/>
      <c r="I148" s="167"/>
      <c r="J148" s="167"/>
      <c r="K148" s="167"/>
      <c r="L148" s="167"/>
      <c r="M148" s="78"/>
      <c r="N148" s="78"/>
      <c r="O148" s="136" t="s">
        <v>148</v>
      </c>
      <c r="P148" s="167"/>
      <c r="Q148" s="167"/>
      <c r="R148" s="167"/>
      <c r="S148" s="167"/>
      <c r="T148" s="78"/>
      <c r="U148" s="78"/>
      <c r="V148" s="78"/>
      <c r="W148" s="136" t="s">
        <v>149</v>
      </c>
      <c r="X148" s="152"/>
      <c r="Y148" s="152"/>
      <c r="Z148" s="152"/>
    </row>
    <row r="149" spans="2:81" ht="15" customHeight="1" x14ac:dyDescent="0.3">
      <c r="E149" s="2" t="s">
        <v>146</v>
      </c>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spans="2:81" ht="15" customHeight="1" x14ac:dyDescent="0.3">
      <c r="E150" s="2" t="s">
        <v>150</v>
      </c>
      <c r="F150" s="180"/>
      <c r="G150" s="180"/>
      <c r="H150" s="180"/>
      <c r="I150" s="180"/>
      <c r="J150" s="180"/>
      <c r="V150" s="67"/>
      <c r="W150" s="67"/>
      <c r="X150" s="67"/>
    </row>
    <row r="151" spans="2:81" ht="15" customHeight="1" x14ac:dyDescent="0.3">
      <c r="E151" s="2"/>
      <c r="F151" s="78"/>
      <c r="G151" s="78"/>
      <c r="H151" s="78"/>
      <c r="I151" s="78"/>
      <c r="J151" s="78"/>
      <c r="V151" s="67"/>
      <c r="W151" s="67"/>
      <c r="X151" s="67"/>
    </row>
    <row r="152" spans="2:81" ht="15" customHeight="1" x14ac:dyDescent="0.3">
      <c r="E152" s="2" t="s">
        <v>206</v>
      </c>
      <c r="F152" s="103"/>
      <c r="G152" s="103"/>
      <c r="H152" s="103"/>
      <c r="I152" s="103"/>
      <c r="J152" s="103"/>
      <c r="K152" s="103"/>
      <c r="L152" s="103"/>
      <c r="M152" s="103"/>
      <c r="N152" s="103"/>
      <c r="O152" s="103"/>
      <c r="P152" s="103"/>
      <c r="Q152" s="103"/>
      <c r="R152" s="103"/>
      <c r="S152" s="103"/>
      <c r="T152" s="103"/>
      <c r="U152" s="103"/>
      <c r="V152" s="67"/>
      <c r="W152" s="67"/>
      <c r="X152" s="67"/>
      <c r="AC152" s="2" t="s">
        <v>185</v>
      </c>
      <c r="AD152" s="151"/>
      <c r="AE152" s="151"/>
      <c r="AF152" s="151"/>
      <c r="AG152" s="151"/>
      <c r="AH152" s="151"/>
    </row>
    <row r="153" spans="2:81" ht="15" customHeight="1" x14ac:dyDescent="0.3"/>
    <row r="154" spans="2:81" ht="15" customHeight="1" x14ac:dyDescent="0.3"/>
    <row r="155" spans="2:81" ht="15" customHeight="1" x14ac:dyDescent="0.3"/>
    <row r="156" spans="2:81" ht="15" customHeight="1" x14ac:dyDescent="0.3">
      <c r="AK156" s="41"/>
    </row>
    <row r="157" spans="2:81" ht="15" customHeight="1" x14ac:dyDescent="0.3">
      <c r="B157" s="142">
        <f>Tables!$C$13</f>
        <v>45383</v>
      </c>
      <c r="C157" s="142"/>
      <c r="D157" s="142"/>
      <c r="E157" s="142"/>
      <c r="F157" s="142"/>
      <c r="G157" s="142"/>
      <c r="H157" s="142"/>
      <c r="R157" s="143" t="s">
        <v>348</v>
      </c>
      <c r="S157" s="143"/>
      <c r="T157" s="143"/>
      <c r="U157" s="143"/>
      <c r="AK157" s="41"/>
    </row>
    <row r="158" spans="2:81" ht="15" customHeight="1" x14ac:dyDescent="0.3">
      <c r="C158" s="2" t="s">
        <v>1</v>
      </c>
      <c r="D158" s="145">
        <f>IF(ISBLANK($E$13),0,$E$13)</f>
        <v>0</v>
      </c>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46"/>
      <c r="AD158" s="2" t="s">
        <v>21</v>
      </c>
      <c r="AE158" s="146">
        <f>IF(ISBLANK($AE$13),0,$AE$13)</f>
        <v>0</v>
      </c>
      <c r="AF158" s="146"/>
      <c r="AG158" s="146"/>
      <c r="AH158" s="146"/>
      <c r="AI158" s="146"/>
      <c r="AJ158" s="146"/>
      <c r="AK158" s="41"/>
    </row>
    <row r="159" spans="2:81" ht="15" customHeight="1" x14ac:dyDescent="0.3">
      <c r="C159" s="47"/>
      <c r="D159" s="47"/>
      <c r="E159" s="47"/>
      <c r="F159" s="47"/>
      <c r="G159" s="47"/>
      <c r="H159" s="47"/>
      <c r="I159" s="47"/>
      <c r="J159" s="2"/>
      <c r="K159" s="2"/>
      <c r="L159" s="2"/>
      <c r="M159" s="2"/>
      <c r="N159" s="47"/>
      <c r="O159" s="46"/>
      <c r="P159" s="46"/>
      <c r="Q159" s="46"/>
      <c r="R159" s="46"/>
      <c r="S159" s="46"/>
      <c r="T159" s="46"/>
      <c r="U159" s="46"/>
      <c r="V159" s="46"/>
      <c r="W159" s="46"/>
      <c r="X159" s="46"/>
      <c r="Y159" s="46"/>
      <c r="Z159" s="46"/>
      <c r="AD159" s="2" t="s">
        <v>35</v>
      </c>
      <c r="AE159" s="147">
        <f>IF(ISBLANK($AE$14),0,$AE$14)</f>
        <v>0</v>
      </c>
      <c r="AF159" s="147"/>
      <c r="AG159" s="147"/>
      <c r="AH159" s="147"/>
      <c r="AI159" s="147"/>
      <c r="AJ159" s="147"/>
      <c r="AK159" s="41"/>
    </row>
    <row r="160" spans="2:81" ht="15" customHeight="1" x14ac:dyDescent="0.3"/>
    <row r="161" spans="2:38" ht="15" customHeight="1" x14ac:dyDescent="0.3">
      <c r="B161" s="51" t="s">
        <v>89</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3"/>
      <c r="AL161" s="13" t="s">
        <v>447</v>
      </c>
    </row>
    <row r="162" spans="2:38" ht="15" customHeight="1" x14ac:dyDescent="0.3">
      <c r="B162" s="54"/>
      <c r="C162" s="8"/>
      <c r="D162" s="8"/>
      <c r="E162" s="8"/>
      <c r="F162" s="8"/>
      <c r="G162" s="8"/>
      <c r="H162" s="8"/>
      <c r="I162" s="8"/>
      <c r="J162" s="55" t="s">
        <v>90</v>
      </c>
      <c r="K162" s="55"/>
      <c r="L162" s="56" t="s">
        <v>225</v>
      </c>
      <c r="M162" s="55"/>
      <c r="N162" s="55"/>
      <c r="O162" s="55"/>
      <c r="P162" s="56"/>
      <c r="Q162" s="8"/>
      <c r="R162" s="8"/>
      <c r="S162" s="8"/>
      <c r="T162" s="8"/>
      <c r="U162" s="8"/>
      <c r="V162" s="8"/>
      <c r="W162" s="8"/>
      <c r="X162" s="8"/>
      <c r="Y162" s="8"/>
      <c r="Z162" s="8"/>
      <c r="AA162" s="8"/>
      <c r="AB162" s="8"/>
      <c r="AC162" s="8"/>
      <c r="AD162" s="8"/>
      <c r="AE162" s="8"/>
      <c r="AF162" s="8"/>
      <c r="AG162" s="8"/>
      <c r="AH162" s="8"/>
      <c r="AI162" s="8"/>
      <c r="AJ162" s="57"/>
      <c r="AL162" s="124">
        <f>SUM(AL163:AL173)</f>
        <v>9</v>
      </c>
    </row>
    <row r="163" spans="2:38" ht="15" customHeight="1" x14ac:dyDescent="0.3">
      <c r="B163" s="54"/>
      <c r="C163" s="8"/>
      <c r="D163" s="8"/>
      <c r="E163" s="8"/>
      <c r="F163" s="8"/>
      <c r="G163" s="8"/>
      <c r="H163" s="8"/>
      <c r="I163" s="8"/>
      <c r="J163" s="9" t="s">
        <v>91</v>
      </c>
      <c r="K163" s="9"/>
      <c r="L163" s="8" t="str">
        <f>IF(AND(AL34&lt;5,AM34=6),Tables!G2,IF(AND(AL34=5,AM34=6),"",Tables!G2))</f>
        <v>Pre Total not compeleted</v>
      </c>
      <c r="M163" s="9"/>
      <c r="N163" s="9"/>
      <c r="O163" s="9"/>
      <c r="P163" s="8"/>
      <c r="Q163" s="8"/>
      <c r="R163" s="8"/>
      <c r="S163" s="8"/>
      <c r="T163" s="8"/>
      <c r="U163" s="8"/>
      <c r="V163" s="8"/>
      <c r="W163" s="8"/>
      <c r="X163" s="8"/>
      <c r="Y163" s="8"/>
      <c r="Z163" s="8"/>
      <c r="AA163" s="8"/>
      <c r="AB163" s="8"/>
      <c r="AC163" s="8"/>
      <c r="AD163" s="8"/>
      <c r="AE163" s="8"/>
      <c r="AF163" s="8"/>
      <c r="AG163" s="8"/>
      <c r="AH163" s="8"/>
      <c r="AI163" s="8"/>
      <c r="AJ163" s="57"/>
      <c r="AL163" s="124">
        <f>IF(L163="",0,1)</f>
        <v>1</v>
      </c>
    </row>
    <row r="164" spans="2:38" ht="15" customHeight="1" x14ac:dyDescent="0.3">
      <c r="B164" s="54"/>
      <c r="C164" s="8"/>
      <c r="D164" s="8"/>
      <c r="E164" s="8"/>
      <c r="F164" s="8"/>
      <c r="G164" s="8"/>
      <c r="H164" s="8"/>
      <c r="I164" s="8"/>
      <c r="J164" s="9" t="s">
        <v>92</v>
      </c>
      <c r="K164" s="9"/>
      <c r="L164" s="8" t="str">
        <f>IF(AND(AL47&lt;5,AM47=6),Tables!G3,IF(AND(AL47=5,AM47=6),"",Tables!G3))</f>
        <v>Post Total not completed</v>
      </c>
      <c r="M164" s="9"/>
      <c r="N164" s="9"/>
      <c r="O164" s="9"/>
      <c r="P164" s="8"/>
      <c r="Q164" s="8"/>
      <c r="R164" s="8"/>
      <c r="S164" s="8"/>
      <c r="T164" s="8"/>
      <c r="U164" s="8"/>
      <c r="V164" s="8"/>
      <c r="W164" s="8"/>
      <c r="X164" s="8"/>
      <c r="Y164" s="8"/>
      <c r="Z164" s="8"/>
      <c r="AA164" s="8"/>
      <c r="AB164" s="8"/>
      <c r="AC164" s="8"/>
      <c r="AD164" s="8"/>
      <c r="AE164" s="8"/>
      <c r="AF164" s="8"/>
      <c r="AG164" s="8"/>
      <c r="AH164" s="8"/>
      <c r="AI164" s="8"/>
      <c r="AJ164" s="57"/>
      <c r="AL164" s="124">
        <f t="shared" ref="AL164:AL177" si="11">IF(L164="",0,1)</f>
        <v>1</v>
      </c>
    </row>
    <row r="165" spans="2:38" ht="15" customHeight="1" x14ac:dyDescent="0.3">
      <c r="B165" s="54"/>
      <c r="C165" s="8"/>
      <c r="D165" s="104"/>
      <c r="E165" s="8"/>
      <c r="F165" s="8"/>
      <c r="G165" s="8"/>
      <c r="H165" s="8"/>
      <c r="I165" s="8"/>
      <c r="J165" s="127" t="s">
        <v>350</v>
      </c>
      <c r="K165" s="9"/>
      <c r="L165" s="8"/>
      <c r="M165" s="9"/>
      <c r="N165" s="9"/>
      <c r="O165" s="9"/>
      <c r="P165" s="8"/>
      <c r="Q165" s="8"/>
      <c r="R165" s="8"/>
      <c r="S165" s="8"/>
      <c r="T165" s="8"/>
      <c r="U165" s="8"/>
      <c r="V165" s="8"/>
      <c r="W165" s="8"/>
      <c r="X165" s="8"/>
      <c r="Y165" s="8"/>
      <c r="Z165" s="8"/>
      <c r="AA165" s="8"/>
      <c r="AB165" s="8"/>
      <c r="AC165" s="8"/>
      <c r="AD165" s="8"/>
      <c r="AE165" s="8"/>
      <c r="AF165" s="8"/>
      <c r="AG165" s="8"/>
      <c r="AH165" s="8"/>
      <c r="AI165" s="8"/>
      <c r="AJ165" s="57"/>
      <c r="AL165" s="124">
        <f t="shared" si="11"/>
        <v>0</v>
      </c>
    </row>
    <row r="166" spans="2:38" ht="15" customHeight="1" x14ac:dyDescent="0.3">
      <c r="B166" s="54"/>
      <c r="C166" s="8"/>
      <c r="D166" s="8"/>
      <c r="E166" s="8"/>
      <c r="F166" s="8"/>
      <c r="G166" s="8"/>
      <c r="H166" s="8"/>
      <c r="I166" s="8"/>
      <c r="J166" s="9" t="s">
        <v>354</v>
      </c>
      <c r="K166" s="9"/>
      <c r="L166" s="8" t="str">
        <f>IF(ISBLANK(H66),Tables!G11,(IF(H66&gt;5,Tables!G11,"")))</f>
        <v>Drainage area exceeds the recommended 5.0 acre maximum</v>
      </c>
      <c r="M166" s="9"/>
      <c r="N166" s="9"/>
      <c r="O166" s="9"/>
      <c r="P166" s="8"/>
      <c r="Q166" s="8"/>
      <c r="R166" s="8"/>
      <c r="S166" s="8"/>
      <c r="T166" s="8"/>
      <c r="U166" s="8"/>
      <c r="V166" s="8"/>
      <c r="W166" s="8"/>
      <c r="X166" s="8"/>
      <c r="Y166" s="8"/>
      <c r="Z166" s="8"/>
      <c r="AA166" s="8"/>
      <c r="AB166" s="8"/>
      <c r="AC166" s="8"/>
      <c r="AD166" s="8"/>
      <c r="AE166" s="8"/>
      <c r="AF166" s="8"/>
      <c r="AG166" s="8"/>
      <c r="AH166" s="8"/>
      <c r="AI166" s="8"/>
      <c r="AJ166" s="57"/>
      <c r="AL166" s="124">
        <f t="shared" si="11"/>
        <v>1</v>
      </c>
    </row>
    <row r="167" spans="2:38" ht="15" customHeight="1" x14ac:dyDescent="0.3">
      <c r="B167" s="54"/>
      <c r="C167" s="8"/>
      <c r="D167" s="8"/>
      <c r="E167" s="8"/>
      <c r="F167" s="8"/>
      <c r="G167" s="8"/>
      <c r="H167" s="8"/>
      <c r="I167" s="8"/>
      <c r="J167" s="9" t="s">
        <v>355</v>
      </c>
      <c r="K167" s="9"/>
      <c r="L167" s="8" t="str">
        <f>IF(ISBLANK(AC66),Tables!G12,IF(AC66&gt;5,Tables!G12,""))</f>
        <v>Land slope exceeds the recommended 5% maximum</v>
      </c>
      <c r="M167" s="9"/>
      <c r="N167" s="9"/>
      <c r="O167" s="9"/>
      <c r="P167" s="8"/>
      <c r="Q167" s="8"/>
      <c r="R167" s="8"/>
      <c r="S167" s="8"/>
      <c r="T167" s="8"/>
      <c r="U167" s="8"/>
      <c r="V167" s="8"/>
      <c r="W167" s="8"/>
      <c r="X167" s="8"/>
      <c r="Y167" s="8"/>
      <c r="Z167" s="8"/>
      <c r="AA167" s="8"/>
      <c r="AB167" s="8"/>
      <c r="AC167" s="8"/>
      <c r="AD167" s="8"/>
      <c r="AE167" s="8"/>
      <c r="AF167" s="8"/>
      <c r="AG167" s="8"/>
      <c r="AH167" s="8"/>
      <c r="AI167" s="8"/>
      <c r="AJ167" s="57"/>
      <c r="AL167" s="124">
        <f t="shared" si="11"/>
        <v>1</v>
      </c>
    </row>
    <row r="168" spans="2:38" ht="15" customHeight="1" x14ac:dyDescent="0.3">
      <c r="B168" s="54"/>
      <c r="C168" s="8"/>
      <c r="D168" s="8"/>
      <c r="E168" s="8"/>
      <c r="F168" s="8"/>
      <c r="G168" s="8"/>
      <c r="H168" s="8"/>
      <c r="I168" s="8"/>
      <c r="J168" s="9" t="s">
        <v>356</v>
      </c>
      <c r="K168" s="9"/>
      <c r="L168" s="8" t="str">
        <f>IF(ISBLANK(W91),Tables!G13,IF(W91&gt;96,Tables!G13,""))</f>
        <v>Drain time exceeds the recommended 96 hours</v>
      </c>
      <c r="M168" s="9"/>
      <c r="N168" s="9"/>
      <c r="O168" s="9"/>
      <c r="P168" s="8"/>
      <c r="Q168" s="8"/>
      <c r="R168" s="8"/>
      <c r="S168" s="8"/>
      <c r="T168" s="8"/>
      <c r="U168" s="8"/>
      <c r="V168" s="8"/>
      <c r="W168" s="8"/>
      <c r="X168" s="8"/>
      <c r="Y168" s="8"/>
      <c r="Z168" s="8"/>
      <c r="AA168" s="8"/>
      <c r="AB168" s="8"/>
      <c r="AC168" s="8"/>
      <c r="AD168" s="8"/>
      <c r="AE168" s="8"/>
      <c r="AF168" s="8"/>
      <c r="AG168" s="8"/>
      <c r="AH168" s="8"/>
      <c r="AI168" s="8"/>
      <c r="AJ168" s="57"/>
      <c r="AL168" s="124">
        <f t="shared" si="11"/>
        <v>1</v>
      </c>
    </row>
    <row r="169" spans="2:38" ht="15" customHeight="1" x14ac:dyDescent="0.3">
      <c r="B169" s="54"/>
      <c r="C169" s="8"/>
      <c r="D169" s="8"/>
      <c r="E169" s="8"/>
      <c r="F169" s="8"/>
      <c r="G169" s="8"/>
      <c r="H169" s="8"/>
      <c r="I169" s="8"/>
      <c r="J169" s="9" t="s">
        <v>357</v>
      </c>
      <c r="K169" s="9"/>
      <c r="L169" s="8" t="str">
        <f>IF(ISBLANK(W93),Tables!G14,IF(W93&gt;12,Tables!G14,""))</f>
        <v>Drain time exceeds the recommended 12 hours</v>
      </c>
      <c r="M169" s="9"/>
      <c r="N169" s="9"/>
      <c r="O169" s="9"/>
      <c r="P169" s="8"/>
      <c r="Q169" s="8"/>
      <c r="R169" s="8"/>
      <c r="S169" s="8"/>
      <c r="T169" s="8"/>
      <c r="U169" s="8"/>
      <c r="V169" s="8"/>
      <c r="W169" s="8"/>
      <c r="X169" s="8"/>
      <c r="Y169" s="8"/>
      <c r="Z169" s="8"/>
      <c r="AA169" s="8"/>
      <c r="AB169" s="8"/>
      <c r="AC169" s="8"/>
      <c r="AD169" s="8"/>
      <c r="AE169" s="8"/>
      <c r="AF169" s="8"/>
      <c r="AG169" s="8"/>
      <c r="AH169" s="8"/>
      <c r="AI169" s="8"/>
      <c r="AJ169" s="57"/>
      <c r="AL169" s="124">
        <f t="shared" si="11"/>
        <v>1</v>
      </c>
    </row>
    <row r="170" spans="2:38" ht="15" customHeight="1" x14ac:dyDescent="0.3">
      <c r="B170" s="54"/>
      <c r="C170" s="8"/>
      <c r="D170" s="8"/>
      <c r="E170" s="8"/>
      <c r="F170" s="8"/>
      <c r="G170" s="8"/>
      <c r="H170" s="8"/>
      <c r="I170" s="8"/>
      <c r="J170" s="9" t="s">
        <v>93</v>
      </c>
      <c r="K170" s="9"/>
      <c r="L170" s="8" t="str">
        <f>IF(AO93&gt;1,Tables!G4,IF(AO93=0,"",IF(AM95&lt;6,Tables!G4,"")))</f>
        <v>Emergency Spillway Section not completed</v>
      </c>
      <c r="M170" s="9"/>
      <c r="N170" s="9"/>
      <c r="O170" s="9"/>
      <c r="P170" s="8"/>
      <c r="Q170" s="8"/>
      <c r="R170" s="8"/>
      <c r="S170" s="8"/>
      <c r="T170" s="8"/>
      <c r="U170" s="8"/>
      <c r="V170" s="8"/>
      <c r="W170" s="8"/>
      <c r="X170" s="8"/>
      <c r="Y170" s="8"/>
      <c r="Z170" s="8"/>
      <c r="AA170" s="8"/>
      <c r="AB170" s="8"/>
      <c r="AC170" s="8"/>
      <c r="AD170" s="8"/>
      <c r="AE170" s="8"/>
      <c r="AF170" s="8"/>
      <c r="AG170" s="8"/>
      <c r="AH170" s="8"/>
      <c r="AI170" s="8"/>
      <c r="AJ170" s="57"/>
      <c r="AL170" s="124">
        <f t="shared" si="11"/>
        <v>1</v>
      </c>
    </row>
    <row r="171" spans="2:38" ht="15" customHeight="1" x14ac:dyDescent="0.3">
      <c r="B171" s="54"/>
      <c r="C171" s="8"/>
      <c r="D171" s="8"/>
      <c r="E171" s="8"/>
      <c r="F171" s="8"/>
      <c r="G171" s="8"/>
      <c r="H171" s="8"/>
      <c r="I171" s="8"/>
      <c r="J171" s="9" t="s">
        <v>117</v>
      </c>
      <c r="K171" s="9"/>
      <c r="L171" s="8" t="str">
        <f>IF(AM116&lt;2,Tables!G8,"")</f>
        <v>Latitude and/or Longitude not provided</v>
      </c>
      <c r="M171" s="9"/>
      <c r="N171" s="9"/>
      <c r="O171" s="9"/>
      <c r="P171" s="8"/>
      <c r="Q171" s="8"/>
      <c r="R171" s="8"/>
      <c r="S171" s="8"/>
      <c r="T171" s="8"/>
      <c r="U171" s="8"/>
      <c r="V171" s="8"/>
      <c r="W171" s="8"/>
      <c r="X171" s="8"/>
      <c r="Y171" s="8"/>
      <c r="Z171" s="8"/>
      <c r="AA171" s="8"/>
      <c r="AB171" s="8"/>
      <c r="AC171" s="8"/>
      <c r="AD171" s="8"/>
      <c r="AE171" s="8"/>
      <c r="AF171" s="8"/>
      <c r="AG171" s="8"/>
      <c r="AH171" s="8"/>
      <c r="AI171" s="8"/>
      <c r="AJ171" s="57"/>
      <c r="AL171" s="124">
        <f t="shared" si="11"/>
        <v>1</v>
      </c>
    </row>
    <row r="172" spans="2:38" ht="15" customHeight="1" x14ac:dyDescent="0.3">
      <c r="B172" s="54"/>
      <c r="C172" s="8"/>
      <c r="D172" s="8"/>
      <c r="E172" s="8"/>
      <c r="F172" s="8"/>
      <c r="G172" s="8"/>
      <c r="H172" s="8"/>
      <c r="I172" s="8"/>
      <c r="J172" s="9" t="s">
        <v>158</v>
      </c>
      <c r="K172" s="9"/>
      <c r="L172" s="8" t="str">
        <f>IF(AM113=2,Tables!G9,IF(AM112=1,"",Tables!G9))</f>
        <v>WQv Required &gt; WQv Provided</v>
      </c>
      <c r="M172" s="9"/>
      <c r="N172" s="9"/>
      <c r="O172" s="9"/>
      <c r="P172" s="8"/>
      <c r="Q172" s="8"/>
      <c r="R172" s="8"/>
      <c r="S172" s="8"/>
      <c r="T172" s="8"/>
      <c r="U172" s="8"/>
      <c r="V172" s="8"/>
      <c r="W172" s="8"/>
      <c r="X172" s="8"/>
      <c r="Y172" s="8"/>
      <c r="Z172" s="8"/>
      <c r="AA172" s="8"/>
      <c r="AB172" s="8"/>
      <c r="AC172" s="8"/>
      <c r="AD172" s="8"/>
      <c r="AE172" s="8"/>
      <c r="AF172" s="8"/>
      <c r="AG172" s="8"/>
      <c r="AH172" s="8"/>
      <c r="AI172" s="8"/>
      <c r="AJ172" s="57"/>
      <c r="AL172" s="124">
        <f t="shared" si="11"/>
        <v>1</v>
      </c>
    </row>
    <row r="173" spans="2:38" ht="15" customHeight="1" x14ac:dyDescent="0.3">
      <c r="B173" s="54"/>
      <c r="C173" s="8"/>
      <c r="D173" s="104"/>
      <c r="E173" s="8"/>
      <c r="F173" s="8"/>
      <c r="G173" s="8"/>
      <c r="H173" s="8"/>
      <c r="I173" s="8"/>
      <c r="J173" s="127" t="s">
        <v>351</v>
      </c>
      <c r="K173" s="9"/>
      <c r="L173" s="8"/>
      <c r="M173" s="9"/>
      <c r="N173" s="9"/>
      <c r="O173" s="9"/>
      <c r="P173" s="8"/>
      <c r="Q173" s="8"/>
      <c r="R173" s="8"/>
      <c r="S173" s="8"/>
      <c r="T173" s="8"/>
      <c r="U173" s="8"/>
      <c r="V173" s="8"/>
      <c r="W173" s="8"/>
      <c r="X173" s="8"/>
      <c r="Y173" s="8"/>
      <c r="Z173" s="8"/>
      <c r="AA173" s="8"/>
      <c r="AB173" s="8"/>
      <c r="AC173" s="8"/>
      <c r="AD173" s="8"/>
      <c r="AE173" s="8"/>
      <c r="AF173" s="8"/>
      <c r="AG173" s="8"/>
      <c r="AH173" s="8"/>
      <c r="AI173" s="8"/>
      <c r="AJ173" s="57"/>
      <c r="AL173" s="124">
        <f t="shared" si="11"/>
        <v>0</v>
      </c>
    </row>
    <row r="174" spans="2:38" ht="15" customHeight="1" x14ac:dyDescent="0.3">
      <c r="B174" s="54"/>
      <c r="C174" s="8"/>
      <c r="D174" s="8"/>
      <c r="E174" s="8"/>
      <c r="F174" s="8"/>
      <c r="G174" s="8"/>
      <c r="H174" s="8"/>
      <c r="I174" s="8"/>
      <c r="J174" s="9" t="s">
        <v>88</v>
      </c>
      <c r="K174" s="9"/>
      <c r="L174" s="8" t="str">
        <f>IF(AL120=0,"",Tables!G7)</f>
        <v>Max Stage for 2, 5, 10, and/or 25-year storm  &gt; Emergency Spillway Crest Elevation</v>
      </c>
      <c r="M174" s="9"/>
      <c r="N174" s="9"/>
      <c r="O174" s="9"/>
      <c r="P174" s="8"/>
      <c r="Q174" s="8"/>
      <c r="R174" s="8"/>
      <c r="S174" s="8"/>
      <c r="T174" s="8"/>
      <c r="U174" s="8"/>
      <c r="V174" s="8"/>
      <c r="W174" s="8"/>
      <c r="X174" s="8"/>
      <c r="Y174" s="8"/>
      <c r="Z174" s="8"/>
      <c r="AA174" s="8"/>
      <c r="AB174" s="8"/>
      <c r="AC174" s="8"/>
      <c r="AD174" s="8"/>
      <c r="AE174" s="8"/>
      <c r="AF174" s="8"/>
      <c r="AG174" s="8"/>
      <c r="AH174" s="8"/>
      <c r="AI174" s="8"/>
      <c r="AJ174" s="57"/>
      <c r="AL174" s="124">
        <f t="shared" si="11"/>
        <v>1</v>
      </c>
    </row>
    <row r="175" spans="2:38" ht="15" customHeight="1" x14ac:dyDescent="0.3">
      <c r="B175" s="54"/>
      <c r="C175" s="8"/>
      <c r="D175" s="8"/>
      <c r="E175" s="8"/>
      <c r="F175" s="8"/>
      <c r="G175" s="8"/>
      <c r="H175" s="8"/>
      <c r="I175" s="8"/>
      <c r="J175" s="9" t="s">
        <v>362</v>
      </c>
      <c r="K175" s="9"/>
      <c r="L175" s="8" t="str">
        <f>IF(AM120&gt;0,Tables!G6,"")</f>
        <v>Velocity &gt; 6 ft/s</v>
      </c>
      <c r="M175" s="9"/>
      <c r="N175" s="9"/>
      <c r="O175" s="9"/>
      <c r="P175" s="8"/>
      <c r="Q175" s="8"/>
      <c r="R175" s="8"/>
      <c r="S175" s="8"/>
      <c r="T175" s="8"/>
      <c r="U175" s="8"/>
      <c r="V175" s="8"/>
      <c r="W175" s="8"/>
      <c r="X175" s="8"/>
      <c r="Y175" s="8"/>
      <c r="Z175" s="8"/>
      <c r="AA175" s="8"/>
      <c r="AB175" s="8"/>
      <c r="AC175" s="8"/>
      <c r="AD175" s="8"/>
      <c r="AE175" s="8"/>
      <c r="AF175" s="8"/>
      <c r="AG175" s="8"/>
      <c r="AH175" s="8"/>
      <c r="AI175" s="8"/>
      <c r="AJ175" s="57"/>
      <c r="AL175" s="124">
        <f t="shared" si="11"/>
        <v>1</v>
      </c>
    </row>
    <row r="176" spans="2:38" ht="15" customHeight="1" x14ac:dyDescent="0.3">
      <c r="B176" s="54"/>
      <c r="C176" s="8"/>
      <c r="D176" s="8"/>
      <c r="E176" s="8"/>
      <c r="F176" s="8"/>
      <c r="G176" s="8"/>
      <c r="H176" s="8"/>
      <c r="I176" s="8"/>
      <c r="J176" s="9" t="s">
        <v>94</v>
      </c>
      <c r="K176" s="9"/>
      <c r="L176" s="8" t="str">
        <f>IF(AN121&gt;0,Tables!G5,"")</f>
        <v>Total Post Q &gt; Pre Q</v>
      </c>
      <c r="M176" s="9"/>
      <c r="N176" s="9"/>
      <c r="O176" s="9"/>
      <c r="P176" s="8"/>
      <c r="Q176" s="8"/>
      <c r="R176" s="8"/>
      <c r="S176" s="8"/>
      <c r="T176" s="8"/>
      <c r="U176" s="8"/>
      <c r="V176" s="8"/>
      <c r="W176" s="8"/>
      <c r="X176" s="8"/>
      <c r="Y176" s="8"/>
      <c r="Z176" s="8"/>
      <c r="AA176" s="8"/>
      <c r="AB176" s="8"/>
      <c r="AC176" s="8"/>
      <c r="AD176" s="8"/>
      <c r="AE176" s="8"/>
      <c r="AF176" s="8"/>
      <c r="AG176" s="8"/>
      <c r="AH176" s="8"/>
      <c r="AI176" s="8"/>
      <c r="AJ176" s="57"/>
      <c r="AL176" s="124">
        <f t="shared" si="11"/>
        <v>1</v>
      </c>
    </row>
    <row r="177" spans="2:38" ht="15" customHeight="1" x14ac:dyDescent="0.3">
      <c r="B177" s="58"/>
      <c r="C177" s="59"/>
      <c r="D177" s="59"/>
      <c r="E177" s="59"/>
      <c r="F177" s="59"/>
      <c r="G177" s="59"/>
      <c r="H177" s="59" t="str">
        <f>IF(AJ120=0,"",Tables!C5)</f>
        <v/>
      </c>
      <c r="I177" s="59" t="str">
        <f>IF(AK120=0,"",Tables!D5)</f>
        <v/>
      </c>
      <c r="J177" s="59">
        <f>IF(AL120=0,"",Tables!E5)</f>
        <v>0</v>
      </c>
      <c r="K177" s="59">
        <f>IF(AM120=0,"",Tables!F5)</f>
        <v>0</v>
      </c>
      <c r="L177" s="59" t="str">
        <f>IF(AO120&gt;0,Tables!G15,"")</f>
        <v>Total Post Q is &lt; -0.50 ft3/s of Pre Q</v>
      </c>
      <c r="M177" s="60"/>
      <c r="N177" s="60"/>
      <c r="O177" s="60"/>
      <c r="P177" s="59"/>
      <c r="Q177" s="59"/>
      <c r="R177" s="59"/>
      <c r="S177" s="59"/>
      <c r="T177" s="59"/>
      <c r="U177" s="59"/>
      <c r="V177" s="59"/>
      <c r="W177" s="59"/>
      <c r="X177" s="59"/>
      <c r="Y177" s="59"/>
      <c r="Z177" s="59"/>
      <c r="AA177" s="59"/>
      <c r="AB177" s="59"/>
      <c r="AC177" s="59"/>
      <c r="AD177" s="59"/>
      <c r="AE177" s="59"/>
      <c r="AF177" s="59"/>
      <c r="AG177" s="59"/>
      <c r="AH177" s="59"/>
      <c r="AI177" s="59"/>
      <c r="AJ177" s="61"/>
      <c r="AL177" s="124">
        <f t="shared" si="11"/>
        <v>1</v>
      </c>
    </row>
    <row r="178" spans="2:38" ht="15" customHeight="1" x14ac:dyDescent="0.3"/>
    <row r="179" spans="2:38" ht="15" customHeight="1" x14ac:dyDescent="0.3"/>
    <row r="180" spans="2:38" ht="15" customHeight="1" x14ac:dyDescent="0.3"/>
    <row r="181" spans="2:38" ht="15" customHeight="1" x14ac:dyDescent="0.3"/>
    <row r="182" spans="2:38" ht="15" customHeight="1" x14ac:dyDescent="0.3"/>
    <row r="183" spans="2:38" ht="15" customHeight="1" x14ac:dyDescent="0.3"/>
    <row r="184" spans="2:38" ht="15" customHeight="1" x14ac:dyDescent="0.3"/>
    <row r="185" spans="2:38" ht="15" customHeight="1" x14ac:dyDescent="0.3"/>
    <row r="186" spans="2:38" ht="15" customHeight="1" x14ac:dyDescent="0.3"/>
    <row r="187" spans="2:38" ht="15" customHeight="1" x14ac:dyDescent="0.3"/>
    <row r="188" spans="2:38" ht="15" customHeight="1" x14ac:dyDescent="0.3"/>
    <row r="189" spans="2:38" ht="15" customHeight="1" x14ac:dyDescent="0.3"/>
    <row r="190" spans="2:38" ht="15" customHeight="1" x14ac:dyDescent="0.3"/>
    <row r="191" spans="2:38" ht="15" customHeight="1" x14ac:dyDescent="0.3"/>
    <row r="192" spans="2:38" ht="15" customHeight="1" x14ac:dyDescent="0.3"/>
    <row r="193" spans="2:37" ht="15" customHeight="1" x14ac:dyDescent="0.3"/>
    <row r="194" spans="2:37" ht="15" customHeight="1" x14ac:dyDescent="0.3"/>
    <row r="195" spans="2:37" ht="15" customHeight="1" x14ac:dyDescent="0.3"/>
    <row r="196" spans="2:37" ht="15" customHeight="1" x14ac:dyDescent="0.3"/>
    <row r="197" spans="2:37" ht="15" customHeight="1" x14ac:dyDescent="0.3"/>
    <row r="198" spans="2:37" ht="15" customHeight="1" x14ac:dyDescent="0.3"/>
    <row r="199" spans="2:37" ht="15" customHeight="1" x14ac:dyDescent="0.3">
      <c r="AK199" s="41"/>
    </row>
    <row r="200" spans="2:37" ht="15" customHeight="1" x14ac:dyDescent="0.3">
      <c r="B200" s="142">
        <f>Tables!$C$13</f>
        <v>45383</v>
      </c>
      <c r="C200" s="142"/>
      <c r="D200" s="142"/>
      <c r="E200" s="142"/>
      <c r="F200" s="142"/>
      <c r="G200" s="142"/>
      <c r="H200" s="142"/>
      <c r="R200" s="143" t="s">
        <v>347</v>
      </c>
      <c r="S200" s="143"/>
      <c r="T200" s="143"/>
      <c r="U200" s="143"/>
      <c r="AK200" s="41"/>
    </row>
    <row r="201" spans="2:37" ht="15" customHeight="1" x14ac:dyDescent="0.3"/>
    <row r="202" spans="2:37" ht="15" customHeight="1" x14ac:dyDescent="0.3"/>
    <row r="203" spans="2:37" ht="15" customHeight="1" x14ac:dyDescent="0.3"/>
  </sheetData>
  <sheetProtection algorithmName="SHA-512" hashValue="uSgfCsGJ1oD+hx+cfIqIfKbV4Q4TqqYnOkcTq7y3PyMNm2InvmczaSbLlz2BzRS218Hwmr7utwrraup+8vCeKg==" saltValue="Lz2MUgFZ/8m1KeUl0RRwjg==" spinCount="100000" sheet="1" objects="1" scenarios="1" selectLockedCells="1"/>
  <mergeCells count="341">
    <mergeCell ref="F145:Z145"/>
    <mergeCell ref="F146:Z146"/>
    <mergeCell ref="F147:Z147"/>
    <mergeCell ref="F148:L148"/>
    <mergeCell ref="P148:S148"/>
    <mergeCell ref="X148:Z148"/>
    <mergeCell ref="F149:Z149"/>
    <mergeCell ref="AD152:AH152"/>
    <mergeCell ref="B157:H157"/>
    <mergeCell ref="R157:U157"/>
    <mergeCell ref="F150:J150"/>
    <mergeCell ref="B129:AJ136"/>
    <mergeCell ref="AF98:AH98"/>
    <mergeCell ref="O117:R117"/>
    <mergeCell ref="W117:Z117"/>
    <mergeCell ref="C102:E102"/>
    <mergeCell ref="X102:Z102"/>
    <mergeCell ref="C108:E108"/>
    <mergeCell ref="C109:E109"/>
    <mergeCell ref="C110:E110"/>
    <mergeCell ref="C111:E111"/>
    <mergeCell ref="C101:E101"/>
    <mergeCell ref="C103:E103"/>
    <mergeCell ref="C104:E104"/>
    <mergeCell ref="C105:E105"/>
    <mergeCell ref="C106:E106"/>
    <mergeCell ref="C107:E107"/>
    <mergeCell ref="H108:J108"/>
    <mergeCell ref="H109:J109"/>
    <mergeCell ref="H110:J110"/>
    <mergeCell ref="AC111:AF111"/>
    <mergeCell ref="M111:P111"/>
    <mergeCell ref="M107:P107"/>
    <mergeCell ref="M108:P108"/>
    <mergeCell ref="M109:P109"/>
    <mergeCell ref="M73:O73"/>
    <mergeCell ref="R73:T73"/>
    <mergeCell ref="M103:P103"/>
    <mergeCell ref="M104:P104"/>
    <mergeCell ref="M105:P105"/>
    <mergeCell ref="M106:P106"/>
    <mergeCell ref="M76:O76"/>
    <mergeCell ref="H102:J102"/>
    <mergeCell ref="S102:U102"/>
    <mergeCell ref="F97:I97"/>
    <mergeCell ref="F98:I98"/>
    <mergeCell ref="O97:Q97"/>
    <mergeCell ref="O98:Q98"/>
    <mergeCell ref="H105:J105"/>
    <mergeCell ref="H106:J106"/>
    <mergeCell ref="S106:U106"/>
    <mergeCell ref="M102:P102"/>
    <mergeCell ref="M80:O80"/>
    <mergeCell ref="M75:P75"/>
    <mergeCell ref="M79:P79"/>
    <mergeCell ref="M82:P82"/>
    <mergeCell ref="W73:Y73"/>
    <mergeCell ref="W98:Y98"/>
    <mergeCell ref="H111:J111"/>
    <mergeCell ref="M77:O77"/>
    <mergeCell ref="M71:O71"/>
    <mergeCell ref="R71:T71"/>
    <mergeCell ref="R70:T70"/>
    <mergeCell ref="W70:Y70"/>
    <mergeCell ref="J27:M27"/>
    <mergeCell ref="L33:N33"/>
    <mergeCell ref="L32:N32"/>
    <mergeCell ref="L46:N46"/>
    <mergeCell ref="L45:N45"/>
    <mergeCell ref="L40:N40"/>
    <mergeCell ref="L39:N39"/>
    <mergeCell ref="L38:N38"/>
    <mergeCell ref="T51:V51"/>
    <mergeCell ref="X50:Z50"/>
    <mergeCell ref="P51:R51"/>
    <mergeCell ref="L51:N51"/>
    <mergeCell ref="L50:N50"/>
    <mergeCell ref="L49:N49"/>
    <mergeCell ref="L48:N48"/>
    <mergeCell ref="P32:R32"/>
    <mergeCell ref="P33:R33"/>
    <mergeCell ref="T31:V31"/>
    <mergeCell ref="X31:Z31"/>
    <mergeCell ref="X35:Z35"/>
    <mergeCell ref="T50:V50"/>
    <mergeCell ref="L64:N64"/>
    <mergeCell ref="T38:V38"/>
    <mergeCell ref="T39:V39"/>
    <mergeCell ref="AC66:AE66"/>
    <mergeCell ref="AB44:AD44"/>
    <mergeCell ref="AB39:AD39"/>
    <mergeCell ref="AB40:AD40"/>
    <mergeCell ref="T66:V66"/>
    <mergeCell ref="W71:Y71"/>
    <mergeCell ref="M72:O72"/>
    <mergeCell ref="R72:T72"/>
    <mergeCell ref="W72:Y72"/>
    <mergeCell ref="B58:H58"/>
    <mergeCell ref="R58:U58"/>
    <mergeCell ref="D59:Y59"/>
    <mergeCell ref="P44:R44"/>
    <mergeCell ref="T44:V44"/>
    <mergeCell ref="L52:N52"/>
    <mergeCell ref="L44:N44"/>
    <mergeCell ref="F50:G50"/>
    <mergeCell ref="F51:G51"/>
    <mergeCell ref="F52:G52"/>
    <mergeCell ref="F53:G53"/>
    <mergeCell ref="P50:R50"/>
    <mergeCell ref="P52:R52"/>
    <mergeCell ref="L53:N53"/>
    <mergeCell ref="P53:R53"/>
    <mergeCell ref="T52:V52"/>
    <mergeCell ref="T53:V53"/>
    <mergeCell ref="X49:Z49"/>
    <mergeCell ref="H66:J66"/>
    <mergeCell ref="P68:T68"/>
    <mergeCell ref="AF39:AH39"/>
    <mergeCell ref="AF40:AH40"/>
    <mergeCell ref="W26:Z26"/>
    <mergeCell ref="W27:Z27"/>
    <mergeCell ref="AB34:AD34"/>
    <mergeCell ref="E13:X13"/>
    <mergeCell ref="E14:X14"/>
    <mergeCell ref="AB31:AD31"/>
    <mergeCell ref="AF31:AH31"/>
    <mergeCell ref="P34:R34"/>
    <mergeCell ref="T32:V32"/>
    <mergeCell ref="L31:N31"/>
    <mergeCell ref="P31:R31"/>
    <mergeCell ref="L36:N36"/>
    <mergeCell ref="L35:N35"/>
    <mergeCell ref="L34:N34"/>
    <mergeCell ref="AF36:AH36"/>
    <mergeCell ref="AF37:AH37"/>
    <mergeCell ref="AF38:AH38"/>
    <mergeCell ref="X38:Z38"/>
    <mergeCell ref="X39:Z39"/>
    <mergeCell ref="X40:Z40"/>
    <mergeCell ref="T36:V36"/>
    <mergeCell ref="T37:V37"/>
    <mergeCell ref="T1:AK4"/>
    <mergeCell ref="T33:V33"/>
    <mergeCell ref="T34:V34"/>
    <mergeCell ref="AF32:AH32"/>
    <mergeCell ref="AF33:AH33"/>
    <mergeCell ref="AF34:AH34"/>
    <mergeCell ref="AF35:AH35"/>
    <mergeCell ref="W23:Z23"/>
    <mergeCell ref="AB32:AD32"/>
    <mergeCell ref="AB33:AD33"/>
    <mergeCell ref="T35:V35"/>
    <mergeCell ref="X33:Z33"/>
    <mergeCell ref="X34:Z34"/>
    <mergeCell ref="AA21:AD21"/>
    <mergeCell ref="AF45:AH45"/>
    <mergeCell ref="AF46:AH46"/>
    <mergeCell ref="AF47:AH47"/>
    <mergeCell ref="AB45:AD45"/>
    <mergeCell ref="AB46:AD46"/>
    <mergeCell ref="AB47:AD47"/>
    <mergeCell ref="X45:Z45"/>
    <mergeCell ref="J20:M20"/>
    <mergeCell ref="L37:N37"/>
    <mergeCell ref="J26:M26"/>
    <mergeCell ref="J22:M22"/>
    <mergeCell ref="J23:M23"/>
    <mergeCell ref="J24:M24"/>
    <mergeCell ref="J25:M25"/>
    <mergeCell ref="P35:R35"/>
    <mergeCell ref="P36:R36"/>
    <mergeCell ref="P37:R37"/>
    <mergeCell ref="L47:N47"/>
    <mergeCell ref="AB35:AD35"/>
    <mergeCell ref="AB36:AD36"/>
    <mergeCell ref="T40:V40"/>
    <mergeCell ref="X32:Z32"/>
    <mergeCell ref="AB37:AD37"/>
    <mergeCell ref="AB38:AD38"/>
    <mergeCell ref="AF50:AH50"/>
    <mergeCell ref="AF51:AH51"/>
    <mergeCell ref="AF52:AH52"/>
    <mergeCell ref="AB52:AD52"/>
    <mergeCell ref="AB53:AD53"/>
    <mergeCell ref="AB49:AD49"/>
    <mergeCell ref="X46:Z46"/>
    <mergeCell ref="X47:Z47"/>
    <mergeCell ref="X48:Z48"/>
    <mergeCell ref="AB48:AD48"/>
    <mergeCell ref="AB50:AD50"/>
    <mergeCell ref="AB51:AD51"/>
    <mergeCell ref="AF48:AH48"/>
    <mergeCell ref="X51:Z51"/>
    <mergeCell ref="X52:Z52"/>
    <mergeCell ref="X53:Z53"/>
    <mergeCell ref="F35:G35"/>
    <mergeCell ref="F36:G36"/>
    <mergeCell ref="F37:G37"/>
    <mergeCell ref="F38:G38"/>
    <mergeCell ref="F39:G39"/>
    <mergeCell ref="F40:G40"/>
    <mergeCell ref="F48:G48"/>
    <mergeCell ref="F49:G49"/>
    <mergeCell ref="X44:Z44"/>
    <mergeCell ref="T45:V45"/>
    <mergeCell ref="T46:V46"/>
    <mergeCell ref="P45:R45"/>
    <mergeCell ref="P46:R46"/>
    <mergeCell ref="P47:R47"/>
    <mergeCell ref="P48:R48"/>
    <mergeCell ref="P49:R49"/>
    <mergeCell ref="T47:V47"/>
    <mergeCell ref="T48:V48"/>
    <mergeCell ref="T49:V49"/>
    <mergeCell ref="X36:Z36"/>
    <mergeCell ref="X37:Z37"/>
    <mergeCell ref="P38:R38"/>
    <mergeCell ref="P39:R39"/>
    <mergeCell ref="P40:R40"/>
    <mergeCell ref="M110:P110"/>
    <mergeCell ref="H107:J107"/>
    <mergeCell ref="AC112:AF112"/>
    <mergeCell ref="S112:U112"/>
    <mergeCell ref="X110:Z110"/>
    <mergeCell ref="X111:Z111"/>
    <mergeCell ref="S107:U107"/>
    <mergeCell ref="S108:U108"/>
    <mergeCell ref="X107:Z107"/>
    <mergeCell ref="X108:Z108"/>
    <mergeCell ref="S111:U111"/>
    <mergeCell ref="AC102:AF102"/>
    <mergeCell ref="AC103:AF103"/>
    <mergeCell ref="AC104:AF104"/>
    <mergeCell ref="AC105:AF105"/>
    <mergeCell ref="AC106:AF106"/>
    <mergeCell ref="S109:U109"/>
    <mergeCell ref="S110:U110"/>
    <mergeCell ref="X109:Z109"/>
    <mergeCell ref="S103:U103"/>
    <mergeCell ref="S104:U104"/>
    <mergeCell ref="S105:U105"/>
    <mergeCell ref="X103:Z103"/>
    <mergeCell ref="X104:Z104"/>
    <mergeCell ref="X105:Z105"/>
    <mergeCell ref="AC108:AF108"/>
    <mergeCell ref="AC109:AF109"/>
    <mergeCell ref="AC110:AF110"/>
    <mergeCell ref="X106:Z106"/>
    <mergeCell ref="AC107:AF107"/>
    <mergeCell ref="Y122:AA122"/>
    <mergeCell ref="Y123:AA123"/>
    <mergeCell ref="Y124:AA124"/>
    <mergeCell ref="Y125:AA125"/>
    <mergeCell ref="Y126:AA126"/>
    <mergeCell ref="AE115:AJ115"/>
    <mergeCell ref="AE116:AJ116"/>
    <mergeCell ref="D115:Y115"/>
    <mergeCell ref="AG120:AJ120"/>
    <mergeCell ref="AG121:AI121"/>
    <mergeCell ref="AG122:AI122"/>
    <mergeCell ref="AG123:AI123"/>
    <mergeCell ref="AG124:AI124"/>
    <mergeCell ref="Q120:S120"/>
    <mergeCell ref="Q119:W119"/>
    <mergeCell ref="U120:W120"/>
    <mergeCell ref="U121:W121"/>
    <mergeCell ref="U122:W122"/>
    <mergeCell ref="U123:W123"/>
    <mergeCell ref="U124:W124"/>
    <mergeCell ref="M120:O120"/>
    <mergeCell ref="M121:O121"/>
    <mergeCell ref="M122:O122"/>
    <mergeCell ref="M123:O123"/>
    <mergeCell ref="U125:W125"/>
    <mergeCell ref="U126:W126"/>
    <mergeCell ref="B114:H114"/>
    <mergeCell ref="R114:U114"/>
    <mergeCell ref="H112:J112"/>
    <mergeCell ref="H103:J103"/>
    <mergeCell ref="H104:J104"/>
    <mergeCell ref="AG125:AI125"/>
    <mergeCell ref="AG126:AI126"/>
    <mergeCell ref="AC120:AE120"/>
    <mergeCell ref="AC121:AE121"/>
    <mergeCell ref="AC122:AE122"/>
    <mergeCell ref="AC123:AE123"/>
    <mergeCell ref="AC124:AE124"/>
    <mergeCell ref="AC125:AE125"/>
    <mergeCell ref="Q121:S121"/>
    <mergeCell ref="Q122:S122"/>
    <mergeCell ref="Q123:S123"/>
    <mergeCell ref="Q124:S124"/>
    <mergeCell ref="Q125:S125"/>
    <mergeCell ref="Q126:S126"/>
    <mergeCell ref="AC126:AE126"/>
    <mergeCell ref="X120:AB120"/>
    <mergeCell ref="Y121:AA121"/>
    <mergeCell ref="M125:O125"/>
    <mergeCell ref="M126:O126"/>
    <mergeCell ref="G121:H121"/>
    <mergeCell ref="G122:H122"/>
    <mergeCell ref="G123:H123"/>
    <mergeCell ref="G124:H124"/>
    <mergeCell ref="G125:H125"/>
    <mergeCell ref="G126:H126"/>
    <mergeCell ref="M124:O124"/>
    <mergeCell ref="W82:Y82"/>
    <mergeCell ref="W84:Y84"/>
    <mergeCell ref="W88:Y88"/>
    <mergeCell ref="W89:Y89"/>
    <mergeCell ref="W91:Y91"/>
    <mergeCell ref="W93:Y93"/>
    <mergeCell ref="M84:O84"/>
    <mergeCell ref="M88:P88"/>
    <mergeCell ref="M89:O89"/>
    <mergeCell ref="M86:O86"/>
    <mergeCell ref="W86:Y86"/>
    <mergeCell ref="D35:E40"/>
    <mergeCell ref="D48:E53"/>
    <mergeCell ref="B200:H200"/>
    <mergeCell ref="R200:U200"/>
    <mergeCell ref="AQ6:BD7"/>
    <mergeCell ref="D158:Y158"/>
    <mergeCell ref="AE158:AJ158"/>
    <mergeCell ref="AE159:AJ159"/>
    <mergeCell ref="BH1:BX4"/>
    <mergeCell ref="AF93:AH93"/>
    <mergeCell ref="AF84:AH84"/>
    <mergeCell ref="AF89:AH89"/>
    <mergeCell ref="AE60:AJ60"/>
    <mergeCell ref="AE59:AJ59"/>
    <mergeCell ref="AF88:AH88"/>
    <mergeCell ref="AE13:AJ13"/>
    <mergeCell ref="AE14:AJ14"/>
    <mergeCell ref="AF49:AH49"/>
    <mergeCell ref="AF53:AH53"/>
    <mergeCell ref="M91:O91"/>
    <mergeCell ref="M93:O93"/>
    <mergeCell ref="W76:Y76"/>
    <mergeCell ref="W77:Y77"/>
    <mergeCell ref="W80:Y80"/>
  </mergeCells>
  <phoneticPr fontId="25" type="noConversion"/>
  <conditionalFormatting sqref="B129:AJ136">
    <cfRule type="expression" dxfId="239" priority="27">
      <formula>$AL$162&gt;1</formula>
    </cfRule>
    <cfRule type="cellIs" priority="26" stopIfTrue="1" operator="greaterThan">
      <formula>0</formula>
    </cfRule>
  </conditionalFormatting>
  <conditionalFormatting sqref="C102:E102">
    <cfRule type="expression" dxfId="238" priority="32">
      <formula>ISBLANK($C$102)</formula>
    </cfRule>
  </conditionalFormatting>
  <conditionalFormatting sqref="D158 AE158:AE159">
    <cfRule type="cellIs" dxfId="237" priority="35" operator="equal">
      <formula>0</formula>
    </cfRule>
  </conditionalFormatting>
  <conditionalFormatting sqref="E13:E14 AE13:AE14 AF32:AF40 AF45:AF53 J98 AC112 O117 W117 Q121:Q126">
    <cfRule type="expression" dxfId="236" priority="339">
      <formula>ISBLANK(E13)</formula>
    </cfRule>
  </conditionalFormatting>
  <conditionalFormatting sqref="F16 N16 W16">
    <cfRule type="expression" dxfId="235" priority="314">
      <formula>ISBLANK(F16)</formula>
    </cfRule>
  </conditionalFormatting>
  <conditionalFormatting sqref="F18 N18 W18">
    <cfRule type="expression" dxfId="234" priority="195">
      <formula>ISBLANK(F18)</formula>
    </cfRule>
  </conditionalFormatting>
  <conditionalFormatting sqref="F145:F146">
    <cfRule type="expression" dxfId="233" priority="22">
      <formula>ISBLANK(F145)</formula>
    </cfRule>
  </conditionalFormatting>
  <conditionalFormatting sqref="F148:F150">
    <cfRule type="expression" dxfId="232" priority="17">
      <formula>ISBLANK(F148)</formula>
    </cfRule>
  </conditionalFormatting>
  <conditionalFormatting sqref="F97:I98 O97:Q98 W98:Y98 AF98:AH98">
    <cfRule type="expression" dxfId="231" priority="1057">
      <formula>$AO$91=2</formula>
    </cfRule>
    <cfRule type="cellIs" priority="117" stopIfTrue="1" operator="greaterThan">
      <formula>0</formula>
    </cfRule>
  </conditionalFormatting>
  <conditionalFormatting sqref="F147:Z147">
    <cfRule type="expression" dxfId="230" priority="20">
      <formula>ISBLANK(F147)</formula>
    </cfRule>
  </conditionalFormatting>
  <conditionalFormatting sqref="H68 K68">
    <cfRule type="expression" dxfId="229" priority="88">
      <formula>$AL$68=1</formula>
    </cfRule>
    <cfRule type="cellIs" priority="87" stopIfTrue="1" operator="greaterThan">
      <formula>0</formula>
    </cfRule>
  </conditionalFormatting>
  <conditionalFormatting sqref="H102 M102">
    <cfRule type="expression" dxfId="228" priority="268">
      <formula>$AL$102=2</formula>
    </cfRule>
  </conditionalFormatting>
  <conditionalFormatting sqref="H102:H111 M102:M111">
    <cfRule type="cellIs" priority="206" stopIfTrue="1" operator="greaterThan">
      <formula>0</formula>
    </cfRule>
  </conditionalFormatting>
  <conditionalFormatting sqref="H66:J66 T66:V66 AC66:AE66">
    <cfRule type="expression" dxfId="227" priority="84">
      <formula>ISBLANK(H66)</formula>
    </cfRule>
  </conditionalFormatting>
  <conditionalFormatting sqref="H66:J66">
    <cfRule type="cellIs" dxfId="226" priority="36" operator="greaterThan">
      <formula>5</formula>
    </cfRule>
  </conditionalFormatting>
  <conditionalFormatting sqref="H102:J102">
    <cfRule type="expression" priority="31" stopIfTrue="1">
      <formula>$AN$102=2</formula>
    </cfRule>
  </conditionalFormatting>
  <conditionalFormatting sqref="J20">
    <cfRule type="expression" dxfId="225" priority="332">
      <formula>ISBLANK(J20)</formula>
    </cfRule>
  </conditionalFormatting>
  <conditionalFormatting sqref="J22:J26">
    <cfRule type="expression" dxfId="224" priority="330">
      <formula>ISBLANK(J22)</formula>
    </cfRule>
  </conditionalFormatting>
  <conditionalFormatting sqref="J27 D59 AE59:AE60 H112 K112 D115 AE115:AE116">
    <cfRule type="cellIs" dxfId="223" priority="320" operator="equal">
      <formula>0</formula>
    </cfRule>
  </conditionalFormatting>
  <conditionalFormatting sqref="J62 M62 P62 S62">
    <cfRule type="expression" priority="1049" stopIfTrue="1">
      <formula>$AL$62=2</formula>
    </cfRule>
    <cfRule type="expression" dxfId="222" priority="1050">
      <formula>$AL$62=1</formula>
    </cfRule>
  </conditionalFormatting>
  <conditionalFormatting sqref="K56 N56">
    <cfRule type="expression" priority="5">
      <formula>$AL56=2</formula>
    </cfRule>
    <cfRule type="expression" dxfId="221" priority="6">
      <formula>$AL56=1</formula>
    </cfRule>
  </conditionalFormatting>
  <conditionalFormatting sqref="K56">
    <cfRule type="expression" dxfId="220" priority="2">
      <formula>$AM56=2</formula>
    </cfRule>
  </conditionalFormatting>
  <conditionalFormatting sqref="K95 N95">
    <cfRule type="cellIs" priority="119" stopIfTrue="1" operator="greaterThan">
      <formula>0</formula>
    </cfRule>
    <cfRule type="expression" dxfId="219" priority="120">
      <formula>$AO$95=1</formula>
    </cfRule>
  </conditionalFormatting>
  <conditionalFormatting sqref="K103 H103 M103">
    <cfRule type="expression" dxfId="218" priority="266">
      <formula>$AL$103=2</formula>
    </cfRule>
  </conditionalFormatting>
  <conditionalFormatting sqref="K103:K111">
    <cfRule type="cellIs" priority="249" stopIfTrue="1" operator="greaterThan">
      <formula>0</formula>
    </cfRule>
  </conditionalFormatting>
  <conditionalFormatting sqref="K104 H104 M104">
    <cfRule type="expression" dxfId="217" priority="264">
      <formula>$AL$104=2</formula>
    </cfRule>
  </conditionalFormatting>
  <conditionalFormatting sqref="K105 H105 M105">
    <cfRule type="expression" dxfId="216" priority="262">
      <formula>$AL$105=2</formula>
    </cfRule>
  </conditionalFormatting>
  <conditionalFormatting sqref="K106 H106 M106">
    <cfRule type="expression" dxfId="215" priority="260">
      <formula>$AL$106=2</formula>
    </cfRule>
  </conditionalFormatting>
  <conditionalFormatting sqref="K107 H107 M107">
    <cfRule type="expression" dxfId="214" priority="258">
      <formula>$AL$107=2</formula>
    </cfRule>
  </conditionalFormatting>
  <conditionalFormatting sqref="K108 H108 M108">
    <cfRule type="expression" dxfId="213" priority="256">
      <formula>$AL$108=2</formula>
    </cfRule>
  </conditionalFormatting>
  <conditionalFormatting sqref="K109 H109 M109">
    <cfRule type="expression" dxfId="212" priority="254">
      <formula>$AL$109=2</formula>
    </cfRule>
  </conditionalFormatting>
  <conditionalFormatting sqref="K110 H110 M110">
    <cfRule type="expression" dxfId="211" priority="252">
      <formula>$AL$110=2</formula>
    </cfRule>
  </conditionalFormatting>
  <conditionalFormatting sqref="K111 H111 M111">
    <cfRule type="expression" dxfId="210" priority="250">
      <formula>$AL$111=2</formula>
    </cfRule>
  </conditionalFormatting>
  <conditionalFormatting sqref="L32:L40">
    <cfRule type="expression" dxfId="209" priority="313">
      <formula>$L$30=2</formula>
    </cfRule>
    <cfRule type="cellIs" dxfId="208" priority="224" stopIfTrue="1" operator="greaterThan">
      <formula>0</formula>
    </cfRule>
  </conditionalFormatting>
  <conditionalFormatting sqref="L45:L53">
    <cfRule type="expression" dxfId="207" priority="303">
      <formula>$L$43=2</formula>
    </cfRule>
    <cfRule type="cellIs" dxfId="206" priority="302" operator="greaterThan">
      <formula>0</formula>
    </cfRule>
  </conditionalFormatting>
  <conditionalFormatting sqref="L31:N31">
    <cfRule type="expression" dxfId="205" priority="34">
      <formula>ISBLANK($L$31)</formula>
    </cfRule>
  </conditionalFormatting>
  <conditionalFormatting sqref="L44:N44">
    <cfRule type="expression" dxfId="204" priority="33">
      <formula>ISBLANK($L$44)</formula>
    </cfRule>
  </conditionalFormatting>
  <conditionalFormatting sqref="L64:N64">
    <cfRule type="expression" dxfId="203" priority="189">
      <formula>ISBLANK(L64)</formula>
    </cfRule>
  </conditionalFormatting>
  <conditionalFormatting sqref="M71:O73 R71:T73 W71:Y73">
    <cfRule type="expression" dxfId="202" priority="82">
      <formula>ISBLANK(M71)</formula>
    </cfRule>
    <cfRule type="cellIs" priority="81" stopIfTrue="1" operator="greaterThan">
      <formula>0</formula>
    </cfRule>
  </conditionalFormatting>
  <conditionalFormatting sqref="M84:O84">
    <cfRule type="expression" dxfId="201" priority="66">
      <formula>ISBLANK(M84)</formula>
    </cfRule>
    <cfRule type="expression" priority="65" stopIfTrue="1">
      <formula>$AM$84=2</formula>
    </cfRule>
    <cfRule type="cellIs" priority="64" stopIfTrue="1" operator="greaterThan">
      <formula>0</formula>
    </cfRule>
  </conditionalFormatting>
  <conditionalFormatting sqref="M86:O86 W86:Y86">
    <cfRule type="expression" dxfId="200" priority="48">
      <formula>ISBLANK(M86)</formula>
    </cfRule>
    <cfRule type="cellIs" priority="47" stopIfTrue="1" operator="notEqual">
      <formula>0</formula>
    </cfRule>
  </conditionalFormatting>
  <conditionalFormatting sqref="M89:O89">
    <cfRule type="expression" priority="55" stopIfTrue="1">
      <formula>$AM$89=2</formula>
    </cfRule>
    <cfRule type="cellIs" priority="54" stopIfTrue="1" operator="greaterThan">
      <formula>0</formula>
    </cfRule>
    <cfRule type="expression" dxfId="199" priority="56">
      <formula>ISBLANK(M89)</formula>
    </cfRule>
  </conditionalFormatting>
  <conditionalFormatting sqref="M91:O91 W91:Y91 M93:O93 W93:Y93 AF93:AH93">
    <cfRule type="expression" dxfId="198" priority="50">
      <formula>ISBLANK(M91)</formula>
    </cfRule>
  </conditionalFormatting>
  <conditionalFormatting sqref="M121:O126">
    <cfRule type="cellIs" dxfId="197" priority="29" operator="equal">
      <formula>0</formula>
    </cfRule>
  </conditionalFormatting>
  <conditionalFormatting sqref="M75:P75 M76:O77 W76:Y77">
    <cfRule type="cellIs" priority="75" stopIfTrue="1" operator="greaterThan">
      <formula>0</formula>
    </cfRule>
    <cfRule type="expression" priority="77" stopIfTrue="1">
      <formula>$AM$75=2</formula>
    </cfRule>
    <cfRule type="expression" dxfId="196" priority="1051">
      <formula>ISBLANK(M75)</formula>
    </cfRule>
  </conditionalFormatting>
  <conditionalFormatting sqref="M79:P79 M80:O80 W80:Y80">
    <cfRule type="expression" dxfId="195" priority="71">
      <formula>ISBLANK(M79)</formula>
    </cfRule>
    <cfRule type="cellIs" priority="69" stopIfTrue="1" operator="greaterThan">
      <formula>0</formula>
    </cfRule>
    <cfRule type="expression" priority="70" stopIfTrue="1">
      <formula>$AM$79=2</formula>
    </cfRule>
  </conditionalFormatting>
  <conditionalFormatting sqref="M82:P82 W82:Y82 M84:O84 W84:Y84 AF84:AH84 M86:O86 W86:Y86 AE86 AH86">
    <cfRule type="expression" priority="41" stopIfTrue="1">
      <formula>$AL$82=2</formula>
    </cfRule>
  </conditionalFormatting>
  <conditionalFormatting sqref="M82:P82 W82:Y82">
    <cfRule type="expression" dxfId="194" priority="60">
      <formula>ISBLANK(M82)</formula>
    </cfRule>
    <cfRule type="cellIs" priority="59" stopIfTrue="1" operator="greaterThan">
      <formula>0</formula>
    </cfRule>
  </conditionalFormatting>
  <conditionalFormatting sqref="M88:P88">
    <cfRule type="cellIs" priority="57" stopIfTrue="1" operator="greaterThan">
      <formula>0</formula>
    </cfRule>
    <cfRule type="expression" dxfId="193" priority="58">
      <formula>ISBLANK(M88)</formula>
    </cfRule>
  </conditionalFormatting>
  <conditionalFormatting sqref="M102:P102">
    <cfRule type="expression" priority="30" stopIfTrue="1">
      <formula>$AO$102=2</formula>
    </cfRule>
  </conditionalFormatting>
  <conditionalFormatting sqref="P29 S29 V29 Y29">
    <cfRule type="expression" priority="15" stopIfTrue="1">
      <formula>$AL29=2</formula>
    </cfRule>
    <cfRule type="expression" dxfId="192" priority="16">
      <formula>$AL29=1</formula>
    </cfRule>
  </conditionalFormatting>
  <conditionalFormatting sqref="P42 S42 V42 Y42">
    <cfRule type="expression" priority="13" stopIfTrue="1">
      <formula>$AL42=2</formula>
    </cfRule>
    <cfRule type="expression" dxfId="191" priority="14">
      <formula>$AL42=1</formula>
    </cfRule>
  </conditionalFormatting>
  <conditionalFormatting sqref="P45:P53">
    <cfRule type="cellIs" dxfId="190" priority="961" operator="greaterThan">
      <formula>0</formula>
    </cfRule>
    <cfRule type="expression" dxfId="189" priority="962">
      <formula>$P$43=2</formula>
    </cfRule>
  </conditionalFormatting>
  <conditionalFormatting sqref="P148">
    <cfRule type="expression" dxfId="188" priority="18">
      <formula>ISBLANK(P148)</formula>
    </cfRule>
  </conditionalFormatting>
  <conditionalFormatting sqref="P31:R40">
    <cfRule type="cellIs" priority="209" stopIfTrue="1" operator="greaterThan">
      <formula>0</formula>
    </cfRule>
    <cfRule type="expression" dxfId="187" priority="210">
      <formula>$P$30=2</formula>
    </cfRule>
  </conditionalFormatting>
  <conditionalFormatting sqref="P68:T68">
    <cfRule type="expression" dxfId="186" priority="86">
      <formula>$AM$68=2</formula>
    </cfRule>
    <cfRule type="cellIs" priority="85" stopIfTrue="1" operator="greaterThan">
      <formula>0</formula>
    </cfRule>
  </conditionalFormatting>
  <conditionalFormatting sqref="S33:S40">
    <cfRule type="cellIs" dxfId="185" priority="220" operator="greaterThan">
      <formula>0</formula>
    </cfRule>
    <cfRule type="expression" dxfId="184" priority="310">
      <formula>$R$30=2</formula>
    </cfRule>
  </conditionalFormatting>
  <conditionalFormatting sqref="S112">
    <cfRule type="cellIs" dxfId="183" priority="1035" operator="lessThan">
      <formula>$H112</formula>
    </cfRule>
    <cfRule type="expression" dxfId="182" priority="1034">
      <formula>ISBLANK(S112)</formula>
    </cfRule>
  </conditionalFormatting>
  <conditionalFormatting sqref="T32:T40">
    <cfRule type="cellIs" dxfId="181" priority="1027" operator="greaterThan">
      <formula>0</formula>
    </cfRule>
    <cfRule type="expression" dxfId="180" priority="1028">
      <formula>$T$30=2</formula>
    </cfRule>
  </conditionalFormatting>
  <conditionalFormatting sqref="T45:T53">
    <cfRule type="cellIs" dxfId="179" priority="1005" operator="greaterThan">
      <formula>0</formula>
    </cfRule>
    <cfRule type="expression" dxfId="178" priority="1006">
      <formula>$T$43=2</formula>
    </cfRule>
  </conditionalFormatting>
  <conditionalFormatting sqref="U121:U126 Y121:Y126 AC121:AC126">
    <cfRule type="expression" dxfId="177" priority="38" stopIfTrue="1">
      <formula>ISBLANK(U121)</formula>
    </cfRule>
  </conditionalFormatting>
  <conditionalFormatting sqref="W23 W26:W27">
    <cfRule type="cellIs" dxfId="176" priority="319" operator="equal">
      <formula>0</formula>
    </cfRule>
  </conditionalFormatting>
  <conditionalFormatting sqref="W56 Z56">
    <cfRule type="expression" dxfId="175" priority="4">
      <formula>$AN56=1</formula>
    </cfRule>
    <cfRule type="expression" priority="3">
      <formula>$AN56=2</formula>
    </cfRule>
  </conditionalFormatting>
  <conditionalFormatting sqref="W56">
    <cfRule type="expression" dxfId="174" priority="1">
      <formula>$AO56=2</formula>
    </cfRule>
  </conditionalFormatting>
  <conditionalFormatting sqref="W84:Y84 AF84">
    <cfRule type="expression" dxfId="173" priority="63">
      <formula>ISBLANK(W84)</formula>
    </cfRule>
    <cfRule type="cellIs" priority="61" stopIfTrue="1" operator="greaterThan">
      <formula>0</formula>
    </cfRule>
    <cfRule type="expression" priority="62" stopIfTrue="1">
      <formula>$AL$84=2</formula>
    </cfRule>
  </conditionalFormatting>
  <conditionalFormatting sqref="W88:Y89 AF89:AH89">
    <cfRule type="expression" dxfId="172" priority="53">
      <formula>ISBLANK(W88)</formula>
    </cfRule>
    <cfRule type="cellIs" priority="51" stopIfTrue="1" operator="greaterThan">
      <formula>0</formula>
    </cfRule>
  </conditionalFormatting>
  <conditionalFormatting sqref="W89:Y89 AF89:AH89">
    <cfRule type="expression" priority="52" stopIfTrue="1">
      <formula>$AL$89=2</formula>
    </cfRule>
  </conditionalFormatting>
  <conditionalFormatting sqref="W91:Y91">
    <cfRule type="cellIs" dxfId="171" priority="39" stopIfTrue="1" operator="greaterThan">
      <formula>96</formula>
    </cfRule>
  </conditionalFormatting>
  <conditionalFormatting sqref="W93:Y93 W91:Y91 M91:O91 M93:O93 AF93:AH93">
    <cfRule type="cellIs" priority="49" stopIfTrue="1" operator="greaterThan">
      <formula>0</formula>
    </cfRule>
  </conditionalFormatting>
  <conditionalFormatting sqref="W93:Y93">
    <cfRule type="cellIs" dxfId="170" priority="40" stopIfTrue="1" operator="greaterThan">
      <formula>12</formula>
    </cfRule>
  </conditionalFormatting>
  <conditionalFormatting sqref="W23:Z23 W26:Z27">
    <cfRule type="expression" priority="28" stopIfTrue="1">
      <formula>$AL$23=1</formula>
    </cfRule>
  </conditionalFormatting>
  <conditionalFormatting sqref="X32:X40">
    <cfRule type="expression" dxfId="169" priority="1030">
      <formula>$X$30=2</formula>
    </cfRule>
    <cfRule type="cellIs" dxfId="168" priority="1029" operator="greaterThan">
      <formula>0</formula>
    </cfRule>
  </conditionalFormatting>
  <conditionalFormatting sqref="X45:X53">
    <cfRule type="cellIs" dxfId="167" priority="1015" operator="greaterThan">
      <formula>0</formula>
    </cfRule>
    <cfRule type="expression" dxfId="166" priority="1016">
      <formula>$X$43=2</formula>
    </cfRule>
  </conditionalFormatting>
  <conditionalFormatting sqref="X102 AC102">
    <cfRule type="expression" dxfId="165" priority="248">
      <formula>$AM$102=2</formula>
    </cfRule>
  </conditionalFormatting>
  <conditionalFormatting sqref="X102:X103 AC102:AC103">
    <cfRule type="cellIs" priority="245" stopIfTrue="1" operator="greaterThan">
      <formula>0</formula>
    </cfRule>
  </conditionalFormatting>
  <conditionalFormatting sqref="X103 AC103">
    <cfRule type="expression" dxfId="164" priority="246">
      <formula>$AM$103=2</formula>
    </cfRule>
  </conditionalFormatting>
  <conditionalFormatting sqref="X104 AC104">
    <cfRule type="cellIs" priority="243" stopIfTrue="1" operator="greaterThan">
      <formula>1</formula>
    </cfRule>
    <cfRule type="expression" dxfId="163" priority="244">
      <formula>$AM$104=2</formula>
    </cfRule>
  </conditionalFormatting>
  <conditionalFormatting sqref="X105 AC105">
    <cfRule type="expression" dxfId="162" priority="242">
      <formula>$AM$105=2</formula>
    </cfRule>
  </conditionalFormatting>
  <conditionalFormatting sqref="X105:X110 AC105:AC110">
    <cfRule type="cellIs" priority="231" stopIfTrue="1" operator="greaterThan">
      <formula>0</formula>
    </cfRule>
  </conditionalFormatting>
  <conditionalFormatting sqref="X106 AC106">
    <cfRule type="expression" dxfId="161" priority="240">
      <formula>$AM$106=2</formula>
    </cfRule>
  </conditionalFormatting>
  <conditionalFormatting sqref="X107 AC107">
    <cfRule type="expression" dxfId="160" priority="238">
      <formula>$AM$107=2</formula>
    </cfRule>
  </conditionalFormatting>
  <conditionalFormatting sqref="X108 AC108">
    <cfRule type="expression" dxfId="159" priority="236">
      <formula>$AM$108=2</formula>
    </cfRule>
  </conditionalFormatting>
  <conditionalFormatting sqref="X109 AC109">
    <cfRule type="expression" dxfId="158" priority="234">
      <formula>$AM$109=2</formula>
    </cfRule>
  </conditionalFormatting>
  <conditionalFormatting sqref="X110 AC110">
    <cfRule type="expression" dxfId="157" priority="232">
      <formula>$AM$110=2</formula>
    </cfRule>
  </conditionalFormatting>
  <conditionalFormatting sqref="X111 AC111">
    <cfRule type="expression" dxfId="156" priority="230">
      <formula>$AM$111=2</formula>
    </cfRule>
    <cfRule type="cellIs" priority="229" stopIfTrue="1" operator="notEqual">
      <formula>0</formula>
    </cfRule>
  </conditionalFormatting>
  <conditionalFormatting sqref="X148">
    <cfRule type="expression" dxfId="155" priority="19">
      <formula>ISBLANK(X148)</formula>
    </cfRule>
  </conditionalFormatting>
  <conditionalFormatting sqref="Y121:Y125">
    <cfRule type="cellIs" dxfId="154" priority="1031" operator="greaterThan">
      <formula>$W$98</formula>
    </cfRule>
  </conditionalFormatting>
  <conditionalFormatting sqref="Y121:AA125">
    <cfRule type="expression" priority="1061" stopIfTrue="1">
      <formula>$AO$93=1</formula>
    </cfRule>
  </conditionalFormatting>
  <conditionalFormatting sqref="AA21">
    <cfRule type="expression" dxfId="153" priority="331">
      <formula>ISBLANK(AA21)</formula>
    </cfRule>
  </conditionalFormatting>
  <conditionalFormatting sqref="AB32:AB40">
    <cfRule type="cellIs" dxfId="152" priority="304" operator="greaterThan">
      <formula>0</formula>
    </cfRule>
    <cfRule type="expression" dxfId="151" priority="305">
      <formula>$AB$30=2</formula>
    </cfRule>
  </conditionalFormatting>
  <conditionalFormatting sqref="AB45:AB53">
    <cfRule type="cellIs" dxfId="150" priority="1025" operator="greaterThan">
      <formula>0</formula>
    </cfRule>
    <cfRule type="expression" dxfId="149" priority="1026">
      <formula>$AB$43=2</formula>
    </cfRule>
  </conditionalFormatting>
  <conditionalFormatting sqref="AC75">
    <cfRule type="cellIs" priority="1052" stopIfTrue="1" operator="greaterThan">
      <formula>0</formula>
    </cfRule>
    <cfRule type="expression" priority="1053" stopIfTrue="1">
      <formula>$AL$75=2</formula>
    </cfRule>
    <cfRule type="expression" dxfId="148" priority="1054">
      <formula>ISBLANK(AC75)</formula>
    </cfRule>
  </conditionalFormatting>
  <conditionalFormatting sqref="AC79">
    <cfRule type="expression" dxfId="147" priority="74">
      <formula>ISBLANK(AC79)</formula>
    </cfRule>
    <cfRule type="expression" priority="73" stopIfTrue="1">
      <formula>$AL$79=2</formula>
    </cfRule>
    <cfRule type="cellIs" priority="72" stopIfTrue="1" operator="greaterThan">
      <formula>0</formula>
    </cfRule>
  </conditionalFormatting>
  <conditionalFormatting sqref="AC82">
    <cfRule type="cellIs" priority="42" stopIfTrue="1" operator="greaterThan">
      <formula>0</formula>
    </cfRule>
    <cfRule type="expression" priority="43" stopIfTrue="1">
      <formula>$AL$79=2</formula>
    </cfRule>
    <cfRule type="expression" dxfId="146" priority="44">
      <formula>ISBLANK(AC82)</formula>
    </cfRule>
  </conditionalFormatting>
  <conditionalFormatting sqref="AC121:AC126">
    <cfRule type="cellIs" dxfId="145" priority="342" operator="greaterThan">
      <formula>$AM$129</formula>
    </cfRule>
  </conditionalFormatting>
  <conditionalFormatting sqref="AC66:AE66 H66:J66 T66:V66">
    <cfRule type="cellIs" priority="83" stopIfTrue="1" operator="greaterThan">
      <formula>0</formula>
    </cfRule>
  </conditionalFormatting>
  <conditionalFormatting sqref="AC66:AE66">
    <cfRule type="cellIs" dxfId="144" priority="37" operator="greaterThan">
      <formula>5</formula>
    </cfRule>
  </conditionalFormatting>
  <conditionalFormatting sqref="AD152">
    <cfRule type="expression" dxfId="143" priority="21">
      <formula>ISBLANK(AD152)</formula>
    </cfRule>
  </conditionalFormatting>
  <conditionalFormatting sqref="AE64 AH64">
    <cfRule type="expression" dxfId="142" priority="188">
      <formula>$AL$64=1</formula>
    </cfRule>
    <cfRule type="expression" priority="187" stopIfTrue="1">
      <formula>$AL$64=2</formula>
    </cfRule>
  </conditionalFormatting>
  <conditionalFormatting sqref="AE86 AH86">
    <cfRule type="cellIs" priority="1055" operator="greaterThan">
      <formula>0</formula>
    </cfRule>
    <cfRule type="expression" dxfId="141" priority="1056">
      <formula>$AL$86=1</formula>
    </cfRule>
  </conditionalFormatting>
  <conditionalFormatting sqref="AE95 AH95">
    <cfRule type="expression" dxfId="140" priority="227">
      <formula>$AL$95=1</formula>
    </cfRule>
  </conditionalFormatting>
  <conditionalFormatting sqref="AF36:AH40">
    <cfRule type="cellIs" dxfId="139" priority="24" operator="equal">
      <formula>0</formula>
    </cfRule>
  </conditionalFormatting>
  <conditionalFormatting sqref="AF49:AH53">
    <cfRule type="cellIs" dxfId="138" priority="23" operator="equal">
      <formula>0</formula>
    </cfRule>
  </conditionalFormatting>
  <conditionalFormatting sqref="AF88:AH88">
    <cfRule type="expression" dxfId="137" priority="46">
      <formula>ISBLANK(AF88)</formula>
    </cfRule>
    <cfRule type="cellIs" priority="45" stopIfTrue="1" operator="notEqual">
      <formula>0</formula>
    </cfRule>
  </conditionalFormatting>
  <conditionalFormatting sqref="AG121:AG126">
    <cfRule type="expression" dxfId="136" priority="1036" stopIfTrue="1">
      <formula>ISBLANK(AG121)</formula>
    </cfRule>
  </conditionalFormatting>
  <conditionalFormatting sqref="AG122:AG126">
    <cfRule type="expression" dxfId="135" priority="1037">
      <formula>$AG122&gt;$M122</formula>
    </cfRule>
  </conditionalFormatting>
  <dataValidations disablePrompts="1" count="2">
    <dataValidation type="list" allowBlank="1" showInputMessage="1" showErrorMessage="1" sqref="M75:P75 M79:P79 M82:P82 M88:P88 F97:I97" xr:uid="{BBFC1B51-BAC7-408F-9A20-8A2F604EEA48}">
      <formula1>Material</formula1>
    </dataValidation>
    <dataValidation type="list" allowBlank="1" showInputMessage="1" showErrorMessage="1" sqref="W82:Y82 W88:Y88 O97:Q97" xr:uid="{1EB110C4-B9A9-486B-998B-DDE0473B8F46}">
      <formula1>Shape</formula1>
    </dataValidation>
  </dataValidations>
  <pageMargins left="0.2" right="0.2" top="0.5" bottom="0.25" header="0.3" footer="0.3"/>
  <pageSetup orientation="portrait" r:id="rId1"/>
  <rowBreaks count="3" manualBreakCount="3">
    <brk id="58" max="16383" man="1"/>
    <brk id="114" max="16383" man="1"/>
    <brk id="157" max="16383" man="1"/>
  </rowBreaks>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882A8A1-F30F-482D-9CAD-3857881F815B}">
          <x14:formula1>
            <xm:f>Tables!$A$2:$A$10</xm:f>
          </x14:formula1>
          <xm:sqref>F97 M82 M88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B199"/>
  <sheetViews>
    <sheetView showGridLines="0" showRowColHeaders="0" showZeros="0" zoomScale="150" zoomScaleNormal="150" workbookViewId="0">
      <selection activeCell="AF15" sqref="AF15:AK15"/>
    </sheetView>
  </sheetViews>
  <sheetFormatPr defaultColWidth="0" defaultRowHeight="0" customHeight="1" zeroHeight="1" x14ac:dyDescent="0.3"/>
  <cols>
    <col min="1" max="38" width="2.6640625" style="39" customWidth="1"/>
    <col min="39" max="39" width="10.33203125" style="23" hidden="1" customWidth="1"/>
    <col min="40" max="40" width="8.5546875" style="23" hidden="1" customWidth="1"/>
    <col min="41" max="41" width="9.109375" style="23" hidden="1" customWidth="1"/>
    <col min="42" max="42" width="7.21875" style="23" hidden="1" customWidth="1"/>
    <col min="43" max="43" width="9.21875" style="23" hidden="1" customWidth="1"/>
    <col min="44" max="44" width="2.77734375" style="39" customWidth="1"/>
    <col min="45" max="45" width="2.77734375" style="24" customWidth="1"/>
    <col min="46" max="80" width="2.77734375" style="39" customWidth="1"/>
    <col min="81" max="16384" width="2.77734375" style="39" hidden="1"/>
  </cols>
  <sheetData>
    <row r="1" spans="1:79" ht="15" customHeight="1" x14ac:dyDescent="0.3">
      <c r="N1" s="3"/>
      <c r="O1" s="3"/>
      <c r="P1" s="3"/>
      <c r="Q1" s="3"/>
      <c r="R1" s="25"/>
      <c r="S1" s="148" t="s">
        <v>262</v>
      </c>
      <c r="T1" s="148"/>
      <c r="U1" s="148"/>
      <c r="V1" s="148"/>
      <c r="W1" s="148"/>
      <c r="X1" s="148"/>
      <c r="Y1" s="148"/>
      <c r="Z1" s="148"/>
      <c r="AA1" s="148"/>
      <c r="AB1" s="148"/>
      <c r="AC1" s="148"/>
      <c r="AD1" s="148"/>
      <c r="AE1" s="148"/>
      <c r="AF1" s="148"/>
      <c r="AG1" s="148"/>
      <c r="AH1" s="148"/>
      <c r="AI1" s="148"/>
      <c r="AJ1" s="148"/>
      <c r="AK1" s="148"/>
      <c r="AL1" s="148"/>
      <c r="AZ1" s="25"/>
      <c r="BA1" s="25"/>
      <c r="BB1" s="25"/>
      <c r="BC1" s="25"/>
      <c r="BD1" s="25"/>
      <c r="BE1" s="25"/>
      <c r="BF1" s="25"/>
      <c r="BG1" s="25"/>
      <c r="BH1" s="25"/>
      <c r="BI1" s="148" t="str">
        <f>S1</f>
        <v>Form 3D - Bioretention Area
As-Built Certification Form</v>
      </c>
      <c r="BJ1" s="148"/>
      <c r="BK1" s="148"/>
      <c r="BL1" s="148"/>
      <c r="BM1" s="148"/>
      <c r="BN1" s="148"/>
      <c r="BO1" s="148"/>
      <c r="BP1" s="148"/>
      <c r="BQ1" s="148"/>
      <c r="BR1" s="148"/>
      <c r="BS1" s="148"/>
      <c r="BT1" s="148"/>
      <c r="BU1" s="148"/>
      <c r="BV1" s="148"/>
      <c r="BW1" s="148"/>
      <c r="BX1" s="148"/>
      <c r="BY1" s="148"/>
      <c r="BZ1" s="148"/>
      <c r="CA1" s="148"/>
    </row>
    <row r="2" spans="1:79" ht="15" customHeight="1" x14ac:dyDescent="0.3">
      <c r="J2" s="3"/>
      <c r="K2" s="3"/>
      <c r="L2" s="3"/>
      <c r="M2" s="3"/>
      <c r="N2" s="3"/>
      <c r="O2" s="3"/>
      <c r="P2" s="3"/>
      <c r="Q2" s="3"/>
      <c r="R2" s="25"/>
      <c r="S2" s="148"/>
      <c r="T2" s="148"/>
      <c r="U2" s="148"/>
      <c r="V2" s="148"/>
      <c r="W2" s="148"/>
      <c r="X2" s="148"/>
      <c r="Y2" s="148"/>
      <c r="Z2" s="148"/>
      <c r="AA2" s="148"/>
      <c r="AB2" s="148"/>
      <c r="AC2" s="148"/>
      <c r="AD2" s="148"/>
      <c r="AE2" s="148"/>
      <c r="AF2" s="148"/>
      <c r="AG2" s="148"/>
      <c r="AH2" s="148"/>
      <c r="AI2" s="148"/>
      <c r="AJ2" s="148"/>
      <c r="AK2" s="148"/>
      <c r="AL2" s="148"/>
      <c r="AY2" s="25"/>
      <c r="AZ2" s="25"/>
      <c r="BA2" s="25"/>
      <c r="BB2" s="25"/>
      <c r="BC2" s="25"/>
      <c r="BD2" s="25"/>
      <c r="BE2" s="25"/>
      <c r="BF2" s="25"/>
      <c r="BG2" s="25"/>
      <c r="BH2" s="25"/>
      <c r="BI2" s="148"/>
      <c r="BJ2" s="148"/>
      <c r="BK2" s="148"/>
      <c r="BL2" s="148"/>
      <c r="BM2" s="148"/>
      <c r="BN2" s="148"/>
      <c r="BO2" s="148"/>
      <c r="BP2" s="148"/>
      <c r="BQ2" s="148"/>
      <c r="BR2" s="148"/>
      <c r="BS2" s="148"/>
      <c r="BT2" s="148"/>
      <c r="BU2" s="148"/>
      <c r="BV2" s="148"/>
      <c r="BW2" s="148"/>
      <c r="BX2" s="148"/>
      <c r="BY2" s="148"/>
      <c r="BZ2" s="148"/>
      <c r="CA2" s="148"/>
    </row>
    <row r="3" spans="1:79" ht="15" customHeight="1" x14ac:dyDescent="0.3">
      <c r="J3" s="3"/>
      <c r="K3" s="3"/>
      <c r="L3" s="3"/>
      <c r="M3" s="3"/>
      <c r="N3" s="3"/>
      <c r="O3" s="3"/>
      <c r="P3" s="3"/>
      <c r="Q3" s="3"/>
      <c r="R3" s="25"/>
      <c r="S3" s="148"/>
      <c r="T3" s="148"/>
      <c r="U3" s="148"/>
      <c r="V3" s="148"/>
      <c r="W3" s="148"/>
      <c r="X3" s="148"/>
      <c r="Y3" s="148"/>
      <c r="Z3" s="148"/>
      <c r="AA3" s="148"/>
      <c r="AB3" s="148"/>
      <c r="AC3" s="148"/>
      <c r="AD3" s="148"/>
      <c r="AE3" s="148"/>
      <c r="AF3" s="148"/>
      <c r="AG3" s="148"/>
      <c r="AH3" s="148"/>
      <c r="AI3" s="148"/>
      <c r="AJ3" s="148"/>
      <c r="AK3" s="148"/>
      <c r="AL3" s="148"/>
      <c r="AY3" s="25"/>
      <c r="AZ3" s="25"/>
      <c r="BA3" s="25"/>
      <c r="BB3" s="25"/>
      <c r="BC3" s="25"/>
      <c r="BD3" s="25"/>
      <c r="BE3" s="25"/>
      <c r="BF3" s="25"/>
      <c r="BG3" s="25"/>
      <c r="BH3" s="25"/>
      <c r="BI3" s="148"/>
      <c r="BJ3" s="148"/>
      <c r="BK3" s="148"/>
      <c r="BL3" s="148"/>
      <c r="BM3" s="148"/>
      <c r="BN3" s="148"/>
      <c r="BO3" s="148"/>
      <c r="BP3" s="148"/>
      <c r="BQ3" s="148"/>
      <c r="BR3" s="148"/>
      <c r="BS3" s="148"/>
      <c r="BT3" s="148"/>
      <c r="BU3" s="148"/>
      <c r="BV3" s="148"/>
      <c r="BW3" s="148"/>
      <c r="BX3" s="148"/>
      <c r="BY3" s="148"/>
      <c r="BZ3" s="148"/>
      <c r="CA3" s="148"/>
    </row>
    <row r="4" spans="1:79" ht="15" customHeight="1" x14ac:dyDescent="0.3">
      <c r="J4" s="3"/>
      <c r="K4" s="3"/>
      <c r="L4" s="3"/>
      <c r="M4" s="3"/>
      <c r="N4" s="3"/>
      <c r="O4" s="3"/>
      <c r="P4" s="3"/>
      <c r="Q4" s="3"/>
      <c r="R4" s="25"/>
      <c r="S4" s="148"/>
      <c r="T4" s="148"/>
      <c r="U4" s="148"/>
      <c r="V4" s="148"/>
      <c r="W4" s="148"/>
      <c r="X4" s="148"/>
      <c r="Y4" s="148"/>
      <c r="Z4" s="148"/>
      <c r="AA4" s="148"/>
      <c r="AB4" s="148"/>
      <c r="AC4" s="148"/>
      <c r="AD4" s="148"/>
      <c r="AE4" s="148"/>
      <c r="AF4" s="148"/>
      <c r="AG4" s="148"/>
      <c r="AH4" s="148"/>
      <c r="AI4" s="148"/>
      <c r="AJ4" s="148"/>
      <c r="AK4" s="148"/>
      <c r="AL4" s="148"/>
      <c r="AY4" s="25"/>
      <c r="AZ4" s="25"/>
      <c r="BA4" s="25"/>
      <c r="BB4" s="25"/>
      <c r="BC4" s="25"/>
      <c r="BD4" s="25"/>
      <c r="BE4" s="25"/>
      <c r="BF4" s="25"/>
      <c r="BG4" s="25"/>
      <c r="BH4" s="25"/>
      <c r="BI4" s="148"/>
      <c r="BJ4" s="148"/>
      <c r="BK4" s="148"/>
      <c r="BL4" s="148"/>
      <c r="BM4" s="148"/>
      <c r="BN4" s="148"/>
      <c r="BO4" s="148"/>
      <c r="BP4" s="148"/>
      <c r="BQ4" s="148"/>
      <c r="BR4" s="148"/>
      <c r="BS4" s="148"/>
      <c r="BT4" s="148"/>
      <c r="BU4" s="148"/>
      <c r="BV4" s="148"/>
      <c r="BW4" s="148"/>
      <c r="BX4" s="148"/>
      <c r="BY4" s="148"/>
      <c r="BZ4" s="148"/>
      <c r="CA4" s="148"/>
    </row>
    <row r="5" spans="1:79" ht="4.95" customHeight="1" x14ac:dyDescent="0.3">
      <c r="J5" s="3"/>
      <c r="K5" s="3"/>
      <c r="L5" s="3"/>
      <c r="M5" s="3"/>
      <c r="N5" s="3"/>
      <c r="O5" s="3"/>
      <c r="P5" s="3"/>
      <c r="Q5" s="3"/>
      <c r="R5" s="26"/>
      <c r="S5" s="26"/>
      <c r="T5" s="26"/>
      <c r="U5" s="26"/>
      <c r="V5" s="26"/>
      <c r="W5" s="26"/>
      <c r="X5" s="26"/>
      <c r="Y5" s="26"/>
      <c r="Z5" s="26"/>
      <c r="AA5" s="26"/>
      <c r="AB5" s="26"/>
      <c r="AC5" s="26"/>
      <c r="AD5" s="26"/>
      <c r="AE5" s="26"/>
      <c r="AF5" s="26"/>
      <c r="AG5" s="26"/>
      <c r="AH5" s="26"/>
      <c r="AI5" s="26"/>
      <c r="AJ5" s="26"/>
      <c r="AK5" s="26"/>
    </row>
    <row r="6" spans="1:79" ht="15" customHeight="1" x14ac:dyDescent="0.3">
      <c r="A6" s="27"/>
      <c r="B6" s="28" t="s">
        <v>123</v>
      </c>
      <c r="C6" s="28"/>
      <c r="D6" s="28"/>
      <c r="E6" s="28"/>
      <c r="F6" s="28"/>
      <c r="G6" s="28"/>
      <c r="H6" s="28"/>
      <c r="I6" s="28"/>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30"/>
      <c r="AS6" s="144" t="s">
        <v>72</v>
      </c>
      <c r="AT6" s="144"/>
      <c r="AU6" s="144"/>
      <c r="AV6" s="144"/>
      <c r="AW6" s="144"/>
      <c r="AX6" s="144"/>
      <c r="AY6" s="144"/>
      <c r="AZ6" s="144"/>
      <c r="BA6" s="144"/>
      <c r="BB6" s="144"/>
      <c r="BC6" s="144"/>
      <c r="BD6" s="144"/>
    </row>
    <row r="7" spans="1:79" ht="15" customHeight="1" x14ac:dyDescent="0.3">
      <c r="A7" s="31"/>
      <c r="B7" s="10" t="s">
        <v>64</v>
      </c>
      <c r="C7" s="10"/>
      <c r="D7" s="10"/>
      <c r="E7" s="66"/>
      <c r="F7" s="66"/>
      <c r="G7" s="66"/>
      <c r="H7" s="181"/>
      <c r="I7" s="181"/>
      <c r="J7" s="181"/>
      <c r="K7" s="181"/>
      <c r="L7" s="181"/>
      <c r="M7" s="181"/>
      <c r="N7" s="181"/>
      <c r="O7" s="181"/>
      <c r="P7" s="181"/>
      <c r="Q7" s="181"/>
      <c r="R7" s="181"/>
      <c r="S7" s="181"/>
      <c r="T7" s="181"/>
      <c r="U7" s="181"/>
      <c r="V7" s="181"/>
      <c r="W7" s="181"/>
      <c r="X7" s="66"/>
      <c r="Y7" s="66"/>
      <c r="Z7" s="66"/>
      <c r="AA7" s="10"/>
      <c r="AB7" s="10"/>
      <c r="AC7" s="10"/>
      <c r="AD7" s="10"/>
      <c r="AE7" s="32" t="s">
        <v>21</v>
      </c>
      <c r="AF7" s="66"/>
      <c r="AG7" s="66"/>
      <c r="AH7" s="66"/>
      <c r="AI7" s="66"/>
      <c r="AJ7" s="66"/>
      <c r="AK7" s="66"/>
      <c r="AL7" s="33"/>
      <c r="AS7" s="144"/>
      <c r="AT7" s="144"/>
      <c r="AU7" s="144"/>
      <c r="AV7" s="144"/>
      <c r="AW7" s="144"/>
      <c r="AX7" s="144"/>
      <c r="AY7" s="144"/>
      <c r="AZ7" s="144"/>
      <c r="BA7" s="144"/>
      <c r="BB7" s="144"/>
      <c r="BC7" s="144"/>
      <c r="BD7" s="144"/>
    </row>
    <row r="8" spans="1:79" ht="4.95" customHeight="1" x14ac:dyDescent="0.3">
      <c r="A8" s="31"/>
      <c r="B8" s="10"/>
      <c r="C8" s="10"/>
      <c r="D8" s="10"/>
      <c r="E8" s="10"/>
      <c r="F8" s="10"/>
      <c r="G8" s="10"/>
      <c r="H8" s="10"/>
      <c r="I8" s="66"/>
      <c r="J8" s="10"/>
      <c r="K8" s="10"/>
      <c r="L8" s="10"/>
      <c r="M8" s="10"/>
      <c r="N8" s="10"/>
      <c r="O8" s="10"/>
      <c r="P8" s="10"/>
      <c r="Q8" s="10"/>
      <c r="R8" s="10"/>
      <c r="S8" s="10"/>
      <c r="T8" s="10"/>
      <c r="U8" s="10"/>
      <c r="V8" s="10"/>
      <c r="W8" s="10"/>
      <c r="X8" s="10"/>
      <c r="Y8" s="10"/>
      <c r="Z8" s="10"/>
      <c r="AA8" s="32"/>
      <c r="AB8" s="32"/>
      <c r="AC8" s="32"/>
      <c r="AD8" s="10"/>
      <c r="AE8" s="10"/>
      <c r="AF8" s="10"/>
      <c r="AG8" s="10"/>
      <c r="AH8" s="10"/>
      <c r="AI8" s="10"/>
      <c r="AJ8" s="10"/>
      <c r="AK8" s="10"/>
      <c r="AL8" s="33"/>
    </row>
    <row r="9" spans="1:79" ht="15" customHeight="1" x14ac:dyDescent="0.3">
      <c r="A9" s="31"/>
      <c r="B9" s="10" t="s">
        <v>22</v>
      </c>
      <c r="C9" s="10"/>
      <c r="D9" s="10"/>
      <c r="E9" s="10"/>
      <c r="F9" s="10"/>
      <c r="G9" s="10"/>
      <c r="H9" s="10"/>
      <c r="I9" s="34"/>
      <c r="J9" s="10" t="s">
        <v>132</v>
      </c>
      <c r="K9" s="10"/>
      <c r="L9" s="10"/>
      <c r="M9" s="10"/>
      <c r="N9" s="10"/>
      <c r="O9" s="10"/>
      <c r="P9" s="34"/>
      <c r="Q9" s="10" t="s">
        <v>133</v>
      </c>
      <c r="R9" s="10"/>
      <c r="S9" s="10"/>
      <c r="T9" s="10"/>
      <c r="U9" s="10"/>
      <c r="V9" s="10"/>
      <c r="W9" s="10"/>
      <c r="X9" s="10"/>
      <c r="Y9" s="10"/>
      <c r="Z9" s="34"/>
      <c r="AA9" s="10" t="s">
        <v>134</v>
      </c>
      <c r="AB9" s="10"/>
      <c r="AC9" s="10"/>
      <c r="AD9" s="10"/>
      <c r="AE9" s="10"/>
      <c r="AF9" s="10"/>
      <c r="AG9" s="34"/>
      <c r="AH9" s="10" t="s">
        <v>135</v>
      </c>
      <c r="AI9" s="10"/>
      <c r="AJ9" s="10"/>
      <c r="AK9" s="10"/>
      <c r="AL9" s="33"/>
      <c r="AS9" s="24">
        <v>1</v>
      </c>
      <c r="AT9" s="116" t="s">
        <v>96</v>
      </c>
      <c r="AZ9" s="36"/>
      <c r="BA9" s="36"/>
      <c r="BB9" s="36"/>
      <c r="BC9" s="36"/>
      <c r="BD9" s="36"/>
    </row>
    <row r="10" spans="1:79" ht="4.95" customHeight="1" x14ac:dyDescent="0.3">
      <c r="A10" s="3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33"/>
      <c r="AT10" s="116"/>
      <c r="AZ10" s="36"/>
      <c r="BA10" s="36"/>
      <c r="BB10" s="36"/>
      <c r="BC10" s="36"/>
      <c r="BD10" s="36"/>
    </row>
    <row r="11" spans="1:79" ht="15" customHeight="1" x14ac:dyDescent="0.3">
      <c r="A11" s="31"/>
      <c r="B11" s="12" t="s">
        <v>23</v>
      </c>
      <c r="C11" s="32"/>
      <c r="D11" s="32"/>
      <c r="E11" s="12"/>
      <c r="F11" s="73"/>
      <c r="G11" s="73"/>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68"/>
      <c r="AK11" s="68"/>
      <c r="AL11" s="33"/>
      <c r="AT11" s="4" t="s">
        <v>98</v>
      </c>
      <c r="AU11" s="116" t="s">
        <v>338</v>
      </c>
      <c r="AZ11" s="36"/>
      <c r="BA11" s="36"/>
      <c r="BB11" s="36"/>
      <c r="BC11" s="36"/>
      <c r="BD11" s="36"/>
    </row>
    <row r="12" spans="1:79" ht="4.95" customHeight="1" x14ac:dyDescent="0.3">
      <c r="A12" s="37"/>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8"/>
      <c r="AT12" s="4"/>
      <c r="AU12" s="116"/>
      <c r="AZ12" s="36"/>
      <c r="BA12" s="36"/>
      <c r="BB12" s="36"/>
      <c r="BC12" s="36"/>
      <c r="BD12" s="36"/>
    </row>
    <row r="13" spans="1:79" ht="4.95" customHeight="1" x14ac:dyDescent="0.3">
      <c r="AZ13" s="36"/>
      <c r="BA13" s="36"/>
      <c r="BB13" s="36"/>
      <c r="BC13" s="36"/>
      <c r="BD13" s="36"/>
    </row>
    <row r="14" spans="1:79" ht="15" customHeight="1" x14ac:dyDescent="0.3">
      <c r="A14" s="1" t="s">
        <v>0</v>
      </c>
      <c r="C14" s="1"/>
      <c r="D14" s="1"/>
      <c r="E14" s="1"/>
      <c r="F14" s="1"/>
      <c r="G14" s="1"/>
      <c r="H14" s="1"/>
      <c r="I14" s="1"/>
      <c r="AE14" s="2" t="str">
        <f>IF(Tables!C25=0,"",Tables!C25&amp;": ")</f>
        <v/>
      </c>
      <c r="AF14" s="163"/>
      <c r="AG14" s="163"/>
      <c r="AH14" s="163"/>
      <c r="AI14" s="163"/>
      <c r="AJ14" s="163"/>
      <c r="AK14" s="163"/>
      <c r="AM14" s="124">
        <f>LEN(AE14)</f>
        <v>0</v>
      </c>
      <c r="AT14" s="4" t="s">
        <v>99</v>
      </c>
      <c r="AU14" s="116" t="s">
        <v>97</v>
      </c>
      <c r="AZ14" s="36"/>
      <c r="BA14" s="36"/>
      <c r="BB14" s="36"/>
      <c r="BC14" s="36"/>
      <c r="BD14" s="36"/>
    </row>
    <row r="15" spans="1:79" ht="15" customHeight="1" x14ac:dyDescent="0.3">
      <c r="C15" s="2"/>
      <c r="D15" s="2" t="s">
        <v>1</v>
      </c>
      <c r="E15" s="145">
        <f>'Form 2D - Design'!$E$13</f>
        <v>0</v>
      </c>
      <c r="F15" s="145"/>
      <c r="G15" s="145"/>
      <c r="H15" s="145"/>
      <c r="I15" s="145"/>
      <c r="J15" s="145"/>
      <c r="K15" s="145"/>
      <c r="L15" s="145"/>
      <c r="M15" s="145"/>
      <c r="N15" s="145"/>
      <c r="O15" s="145"/>
      <c r="P15" s="145"/>
      <c r="Q15" s="145"/>
      <c r="R15" s="145"/>
      <c r="S15" s="145"/>
      <c r="T15" s="145"/>
      <c r="U15" s="145"/>
      <c r="V15" s="145"/>
      <c r="W15" s="145"/>
      <c r="X15" s="145"/>
      <c r="Y15" s="145"/>
      <c r="Z15" s="145"/>
      <c r="AE15" s="2" t="s">
        <v>21</v>
      </c>
      <c r="AF15" s="192"/>
      <c r="AG15" s="192"/>
      <c r="AH15" s="192"/>
      <c r="AI15" s="192"/>
      <c r="AJ15" s="192"/>
      <c r="AK15" s="192"/>
      <c r="AY15" s="112"/>
      <c r="AZ15" s="77"/>
      <c r="BA15" s="77"/>
      <c r="BB15" s="77"/>
      <c r="BC15" s="77"/>
      <c r="BD15" s="77"/>
    </row>
    <row r="16" spans="1:79" ht="15" customHeight="1" x14ac:dyDescent="0.3">
      <c r="C16" s="2"/>
      <c r="D16" s="2" t="s">
        <v>20</v>
      </c>
      <c r="E16" s="186">
        <f>'Form 2D - Design'!$E$14</f>
        <v>0</v>
      </c>
      <c r="F16" s="186"/>
      <c r="G16" s="186"/>
      <c r="H16" s="186"/>
      <c r="I16" s="186"/>
      <c r="J16" s="186"/>
      <c r="K16" s="186"/>
      <c r="L16" s="186"/>
      <c r="M16" s="186"/>
      <c r="N16" s="186"/>
      <c r="O16" s="186"/>
      <c r="P16" s="186"/>
      <c r="Q16" s="186"/>
      <c r="R16" s="186"/>
      <c r="S16" s="186"/>
      <c r="T16" s="186"/>
      <c r="U16" s="186"/>
      <c r="V16" s="186"/>
      <c r="W16" s="186"/>
      <c r="X16" s="186"/>
      <c r="Y16" s="186"/>
      <c r="Z16" s="186"/>
      <c r="AE16" s="2" t="s">
        <v>35</v>
      </c>
      <c r="AF16" s="147">
        <f>'Form 2D - Design'!AE14</f>
        <v>0</v>
      </c>
      <c r="AG16" s="147"/>
      <c r="AH16" s="147"/>
      <c r="AI16" s="147"/>
      <c r="AJ16" s="147"/>
      <c r="AK16" s="147"/>
      <c r="AS16" s="24">
        <v>2</v>
      </c>
      <c r="AT16" s="116" t="s">
        <v>110</v>
      </c>
      <c r="AY16" s="112"/>
      <c r="AZ16" s="77"/>
      <c r="BA16" s="77"/>
      <c r="BB16" s="77"/>
      <c r="BC16" s="77"/>
      <c r="BD16" s="77"/>
    </row>
    <row r="17" spans="1:56" ht="4.95" customHeight="1" x14ac:dyDescent="0.3">
      <c r="H17" s="2"/>
      <c r="I17" s="2"/>
      <c r="AW17" s="112"/>
      <c r="AX17" s="112"/>
      <c r="AZ17" s="36"/>
      <c r="BA17" s="36"/>
      <c r="BB17" s="36"/>
      <c r="BC17" s="36"/>
      <c r="BD17" s="36"/>
    </row>
    <row r="18" spans="1:56" ht="15" customHeight="1" x14ac:dyDescent="0.3">
      <c r="B18" s="39" t="s">
        <v>128</v>
      </c>
      <c r="G18" s="70"/>
      <c r="H18" s="39" t="s">
        <v>125</v>
      </c>
      <c r="N18" s="70"/>
      <c r="O18" s="39" t="s">
        <v>126</v>
      </c>
      <c r="W18" s="4"/>
      <c r="X18" s="4"/>
      <c r="Y18" s="4"/>
      <c r="Z18" s="70"/>
      <c r="AA18" s="39" t="str">
        <f>Tables!C24</f>
        <v xml:space="preserve"> O&amp;M Agreement</v>
      </c>
      <c r="AH18" s="70"/>
      <c r="AI18" s="39" t="s">
        <v>129</v>
      </c>
      <c r="AT18" s="4" t="s">
        <v>98</v>
      </c>
      <c r="AU18" s="112" t="s">
        <v>425</v>
      </c>
      <c r="AV18" s="112"/>
      <c r="AW18" s="112"/>
      <c r="AX18" s="112"/>
      <c r="AZ18" s="36"/>
      <c r="BA18" s="36"/>
      <c r="BB18" s="36"/>
      <c r="BC18" s="36"/>
      <c r="BD18" s="36"/>
    </row>
    <row r="19" spans="1:56" ht="4.95" customHeight="1" x14ac:dyDescent="0.3">
      <c r="AV19" s="112"/>
      <c r="AZ19" s="36"/>
      <c r="BA19" s="36"/>
      <c r="BB19" s="36"/>
      <c r="BC19" s="36"/>
      <c r="BD19" s="36"/>
    </row>
    <row r="20" spans="1:56" ht="15" customHeight="1" x14ac:dyDescent="0.3">
      <c r="A20" s="182" t="s">
        <v>265</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U20" s="112" t="s">
        <v>426</v>
      </c>
      <c r="AY20" s="112"/>
      <c r="AZ20" s="77"/>
      <c r="BA20" s="77"/>
      <c r="BB20" s="77"/>
      <c r="BC20" s="77"/>
      <c r="BD20" s="77"/>
    </row>
    <row r="21" spans="1:56" ht="15" customHeight="1" x14ac:dyDescent="0.3">
      <c r="B21" s="1" t="s">
        <v>59</v>
      </c>
      <c r="C21" s="1"/>
      <c r="D21" s="1"/>
      <c r="E21" s="1"/>
      <c r="F21" s="1"/>
      <c r="G21" s="1"/>
      <c r="I21" s="1"/>
      <c r="J21" s="1"/>
      <c r="K21" s="1"/>
      <c r="L21" s="1"/>
      <c r="M21" s="1"/>
      <c r="N21" s="1"/>
      <c r="O21" s="1"/>
      <c r="P21" s="1"/>
      <c r="Q21" s="1"/>
      <c r="R21" s="1"/>
      <c r="S21" s="100"/>
      <c r="U21" s="1" t="s">
        <v>60</v>
      </c>
      <c r="V21" s="1"/>
      <c r="W21" s="1"/>
      <c r="X21" s="1"/>
      <c r="Y21" s="1"/>
      <c r="Z21" s="1"/>
      <c r="AA21" s="1"/>
      <c r="AB21" s="1"/>
      <c r="AD21" s="1"/>
      <c r="AE21" s="1"/>
      <c r="AF21" s="1"/>
      <c r="AG21" s="1"/>
      <c r="AI21" s="69"/>
      <c r="AJ21" s="69"/>
      <c r="AT21" s="4" t="s">
        <v>99</v>
      </c>
      <c r="AU21" s="116" t="s">
        <v>103</v>
      </c>
      <c r="AY21" s="112"/>
      <c r="AZ21" s="77"/>
      <c r="BA21" s="77"/>
      <c r="BB21" s="77"/>
      <c r="BC21" s="77"/>
      <c r="BD21" s="77"/>
    </row>
    <row r="22" spans="1:56" ht="14.55" customHeight="1" x14ac:dyDescent="0.3">
      <c r="M22" s="2" t="s">
        <v>234</v>
      </c>
      <c r="N22" s="194">
        <f>'Form 2D - Design'!L64</f>
        <v>0</v>
      </c>
      <c r="O22" s="194"/>
      <c r="P22" s="194"/>
      <c r="Q22" s="39" t="s">
        <v>235</v>
      </c>
      <c r="S22" s="100"/>
      <c r="AF22" s="2" t="s">
        <v>234</v>
      </c>
      <c r="AG22" s="150"/>
      <c r="AH22" s="150"/>
      <c r="AI22" s="150"/>
      <c r="AJ22" s="39" t="s">
        <v>235</v>
      </c>
      <c r="AT22" s="4" t="s">
        <v>113</v>
      </c>
      <c r="AU22" s="112" t="s">
        <v>427</v>
      </c>
      <c r="AV22" s="112"/>
      <c r="AW22" s="112"/>
      <c r="AX22" s="112"/>
      <c r="AY22" s="67"/>
      <c r="AZ22" s="76"/>
      <c r="BA22" s="76"/>
      <c r="BB22" s="76"/>
      <c r="BC22" s="76"/>
      <c r="BD22" s="76"/>
    </row>
    <row r="23" spans="1:56" ht="14.55" customHeight="1" x14ac:dyDescent="0.3">
      <c r="M23" s="2" t="s">
        <v>233</v>
      </c>
      <c r="N23" s="183">
        <f>'Form 2D - Design'!T66</f>
        <v>0</v>
      </c>
      <c r="O23" s="183"/>
      <c r="P23" s="183"/>
      <c r="Q23" s="39" t="s">
        <v>45</v>
      </c>
      <c r="S23" s="100"/>
      <c r="AF23" s="2" t="s">
        <v>233</v>
      </c>
      <c r="AG23" s="154"/>
      <c r="AH23" s="154"/>
      <c r="AI23" s="154"/>
      <c r="AJ23" s="39" t="s">
        <v>45</v>
      </c>
      <c r="AU23" s="112" t="s">
        <v>428</v>
      </c>
      <c r="AV23" s="112"/>
      <c r="AW23" s="112"/>
      <c r="AX23" s="112"/>
      <c r="AY23" s="67"/>
      <c r="AZ23" s="76"/>
      <c r="BA23" s="76"/>
      <c r="BB23" s="76"/>
      <c r="BC23" s="76"/>
      <c r="BD23" s="76"/>
    </row>
    <row r="24" spans="1:56" ht="4.95" customHeight="1" x14ac:dyDescent="0.3">
      <c r="S24" s="100"/>
      <c r="AV24" s="67"/>
      <c r="AW24" s="67"/>
      <c r="AX24" s="67"/>
      <c r="AY24" s="92"/>
      <c r="AZ24" s="96"/>
      <c r="BA24" s="96"/>
      <c r="BB24" s="96"/>
      <c r="BC24" s="96"/>
      <c r="BD24" s="96"/>
    </row>
    <row r="25" spans="1:56" ht="14.55" customHeight="1" x14ac:dyDescent="0.3">
      <c r="M25" s="2" t="s">
        <v>307</v>
      </c>
      <c r="N25" s="137">
        <f>'Form 2D - Design'!AE64</f>
        <v>0</v>
      </c>
      <c r="O25" s="39" t="s">
        <v>130</v>
      </c>
      <c r="P25" s="2"/>
      <c r="Q25" s="137">
        <f>'Form 2D - Design'!AH64</f>
        <v>0</v>
      </c>
      <c r="R25" s="39" t="s">
        <v>131</v>
      </c>
      <c r="S25" s="100"/>
      <c r="AF25" s="2" t="s">
        <v>307</v>
      </c>
      <c r="AG25" s="70"/>
      <c r="AH25" s="39" t="s">
        <v>130</v>
      </c>
      <c r="AI25" s="2"/>
      <c r="AJ25" s="70"/>
      <c r="AK25" s="39" t="s">
        <v>131</v>
      </c>
      <c r="AM25" s="124">
        <f>IF(AND(ISBLANK(AG25),ISBLANK(AJ25)),1,2)</f>
        <v>1</v>
      </c>
      <c r="AT25" s="4" t="s">
        <v>114</v>
      </c>
      <c r="AU25" s="116" t="s">
        <v>104</v>
      </c>
      <c r="AV25" s="67"/>
      <c r="AW25" s="67"/>
      <c r="AX25" s="67"/>
      <c r="AZ25" s="36"/>
      <c r="BA25" s="36"/>
      <c r="BB25" s="36"/>
      <c r="BC25" s="36"/>
      <c r="BD25" s="36"/>
    </row>
    <row r="26" spans="1:56" ht="4.95" customHeight="1" x14ac:dyDescent="0.3">
      <c r="S26" s="100"/>
      <c r="AI26" s="11"/>
      <c r="AJ26" s="11"/>
      <c r="AU26" s="92"/>
      <c r="AV26" s="92"/>
      <c r="AW26" s="92"/>
      <c r="AX26" s="92"/>
      <c r="AZ26" s="36"/>
      <c r="BA26" s="36"/>
      <c r="BB26" s="36"/>
      <c r="BC26" s="36"/>
      <c r="BD26" s="36"/>
    </row>
    <row r="27" spans="1:56" ht="14.55" customHeight="1" x14ac:dyDescent="0.3">
      <c r="E27" s="2" t="s">
        <v>237</v>
      </c>
      <c r="F27" s="137">
        <f>'Form 2D - Design'!H68</f>
        <v>0</v>
      </c>
      <c r="G27" s="39" t="s">
        <v>130</v>
      </c>
      <c r="H27" s="2"/>
      <c r="I27" s="137">
        <f>'Form 2D - Design'!K68</f>
        <v>0</v>
      </c>
      <c r="J27" s="39" t="s">
        <v>131</v>
      </c>
      <c r="M27" s="2" t="s">
        <v>236</v>
      </c>
      <c r="N27" s="185">
        <f>'Form 2D - Design'!P68</f>
        <v>0</v>
      </c>
      <c r="O27" s="185"/>
      <c r="P27" s="185"/>
      <c r="Q27" s="185"/>
      <c r="R27" s="185"/>
      <c r="S27" s="100"/>
      <c r="X27" s="2" t="s">
        <v>237</v>
      </c>
      <c r="Y27" s="70"/>
      <c r="Z27" s="39" t="s">
        <v>130</v>
      </c>
      <c r="AA27" s="2"/>
      <c r="AB27" s="70"/>
      <c r="AC27" s="39" t="s">
        <v>131</v>
      </c>
      <c r="AF27" s="2" t="s">
        <v>236</v>
      </c>
      <c r="AG27" s="155"/>
      <c r="AH27" s="155"/>
      <c r="AI27" s="155"/>
      <c r="AJ27" s="155"/>
      <c r="AK27" s="155"/>
      <c r="AM27" s="124">
        <f>IF(AND(ISBLANK(Y27),ISBLANK(AB27)),1,2)</f>
        <v>1</v>
      </c>
      <c r="AN27" s="124">
        <f>IF(ISBLANK(Y27),1,2)</f>
        <v>1</v>
      </c>
      <c r="AS27" s="24">
        <v>3</v>
      </c>
      <c r="AT27" s="116" t="s">
        <v>100</v>
      </c>
      <c r="AY27" s="119"/>
      <c r="AZ27" s="99"/>
      <c r="BA27" s="99"/>
      <c r="BB27" s="99"/>
      <c r="BC27" s="99"/>
      <c r="BD27" s="99"/>
    </row>
    <row r="28" spans="1:56" ht="4.95" customHeight="1" x14ac:dyDescent="0.3">
      <c r="S28" s="100"/>
      <c r="AI28" s="11"/>
      <c r="AJ28" s="11"/>
      <c r="AY28" s="119"/>
      <c r="AZ28" s="99"/>
      <c r="BA28" s="99"/>
      <c r="BB28" s="99"/>
      <c r="BC28" s="99"/>
      <c r="BD28" s="99"/>
    </row>
    <row r="29" spans="1:56" ht="14.55" customHeight="1" x14ac:dyDescent="0.3">
      <c r="B29" s="93" t="s">
        <v>246</v>
      </c>
      <c r="J29" s="4" t="s">
        <v>238</v>
      </c>
      <c r="N29" s="39" t="s">
        <v>239</v>
      </c>
      <c r="S29" s="100"/>
      <c r="U29" s="93" t="s">
        <v>246</v>
      </c>
      <c r="AC29" s="4" t="s">
        <v>238</v>
      </c>
      <c r="AG29" s="39" t="s">
        <v>239</v>
      </c>
      <c r="AT29" s="4" t="s">
        <v>98</v>
      </c>
      <c r="AU29" s="112" t="s">
        <v>315</v>
      </c>
      <c r="AW29" s="119"/>
      <c r="AX29" s="119"/>
      <c r="AY29" s="112"/>
      <c r="AZ29" s="77"/>
      <c r="BA29" s="77"/>
      <c r="BB29" s="77"/>
      <c r="BC29" s="77"/>
      <c r="BD29" s="77"/>
    </row>
    <row r="30" spans="1:56" ht="14.55" customHeight="1" x14ac:dyDescent="0.3">
      <c r="H30" s="2" t="s">
        <v>270</v>
      </c>
      <c r="I30" s="194">
        <f>'Form 2D - Design'!M71</f>
        <v>0</v>
      </c>
      <c r="J30" s="197"/>
      <c r="K30" s="197"/>
      <c r="L30" s="39" t="s">
        <v>44</v>
      </c>
      <c r="N30" s="194">
        <f>'Form 2D - Design'!R71</f>
        <v>0</v>
      </c>
      <c r="O30" s="197"/>
      <c r="P30" s="197"/>
      <c r="Q30" s="39" t="s">
        <v>45</v>
      </c>
      <c r="S30" s="100"/>
      <c r="AA30" s="2" t="s">
        <v>270</v>
      </c>
      <c r="AB30" s="150"/>
      <c r="AC30" s="150"/>
      <c r="AD30" s="150"/>
      <c r="AE30" s="39" t="s">
        <v>44</v>
      </c>
      <c r="AG30" s="150"/>
      <c r="AH30" s="150"/>
      <c r="AI30" s="150"/>
      <c r="AJ30" s="39" t="s">
        <v>45</v>
      </c>
      <c r="AT30" s="4" t="s">
        <v>99</v>
      </c>
      <c r="AU30" s="116" t="s">
        <v>108</v>
      </c>
      <c r="AV30" s="112"/>
      <c r="AW30" s="119"/>
      <c r="AX30" s="119"/>
      <c r="AY30" s="112"/>
      <c r="AZ30" s="77"/>
      <c r="BA30" s="77"/>
      <c r="BB30" s="77"/>
      <c r="BC30" s="77"/>
      <c r="BD30" s="77"/>
    </row>
    <row r="31" spans="1:56" ht="14.55" customHeight="1" x14ac:dyDescent="0.3">
      <c r="H31" s="2" t="s">
        <v>271</v>
      </c>
      <c r="I31" s="194">
        <f>'Form 2D - Design'!M72</f>
        <v>0</v>
      </c>
      <c r="J31" s="197"/>
      <c r="K31" s="197"/>
      <c r="L31" s="39" t="s">
        <v>44</v>
      </c>
      <c r="N31" s="194">
        <f>'Form 2D - Design'!R72</f>
        <v>0</v>
      </c>
      <c r="O31" s="197"/>
      <c r="P31" s="197"/>
      <c r="Q31" s="39" t="s">
        <v>45</v>
      </c>
      <c r="S31" s="100"/>
      <c r="AA31" s="2" t="s">
        <v>271</v>
      </c>
      <c r="AB31" s="154"/>
      <c r="AC31" s="154"/>
      <c r="AD31" s="154"/>
      <c r="AE31" s="39" t="s">
        <v>44</v>
      </c>
      <c r="AG31" s="154"/>
      <c r="AH31" s="154"/>
      <c r="AI31" s="154"/>
      <c r="AJ31" s="39" t="s">
        <v>45</v>
      </c>
      <c r="AU31" s="120" t="s">
        <v>116</v>
      </c>
      <c r="AV31" s="116" t="s">
        <v>109</v>
      </c>
      <c r="AW31" s="112"/>
      <c r="AX31" s="112"/>
      <c r="AY31" s="67"/>
      <c r="AZ31" s="76"/>
      <c r="BA31" s="76"/>
      <c r="BB31" s="76"/>
      <c r="BC31" s="76"/>
      <c r="BD31" s="76"/>
    </row>
    <row r="32" spans="1:56" ht="14.55" customHeight="1" x14ac:dyDescent="0.3">
      <c r="H32" s="2" t="s">
        <v>272</v>
      </c>
      <c r="I32" s="194">
        <f>'Form 2D - Design'!M73</f>
        <v>0</v>
      </c>
      <c r="J32" s="197"/>
      <c r="K32" s="197"/>
      <c r="L32" s="39" t="s">
        <v>44</v>
      </c>
      <c r="N32" s="194">
        <f>'Form 2D - Design'!R73</f>
        <v>0</v>
      </c>
      <c r="O32" s="197"/>
      <c r="P32" s="197"/>
      <c r="Q32" s="39" t="s">
        <v>45</v>
      </c>
      <c r="S32" s="100"/>
      <c r="AA32" s="2" t="s">
        <v>272</v>
      </c>
      <c r="AB32" s="154"/>
      <c r="AC32" s="154"/>
      <c r="AD32" s="154"/>
      <c r="AE32" s="39" t="s">
        <v>44</v>
      </c>
      <c r="AG32" s="154"/>
      <c r="AH32" s="154"/>
      <c r="AI32" s="154"/>
      <c r="AJ32" s="39" t="s">
        <v>45</v>
      </c>
      <c r="AU32" s="120" t="s">
        <v>116</v>
      </c>
      <c r="AV32" s="116" t="s">
        <v>101</v>
      </c>
      <c r="AW32" s="112"/>
      <c r="AX32" s="112"/>
      <c r="AY32" s="67"/>
      <c r="AZ32" s="76"/>
      <c r="BA32" s="76"/>
      <c r="BB32" s="76"/>
      <c r="BC32" s="76"/>
      <c r="BD32" s="76"/>
    </row>
    <row r="33" spans="2:50" ht="4.95" customHeight="1" x14ac:dyDescent="0.3">
      <c r="S33" s="100"/>
      <c r="AI33" s="11"/>
      <c r="AJ33" s="11"/>
      <c r="AW33" s="67"/>
      <c r="AX33" s="67"/>
    </row>
    <row r="34" spans="2:50" ht="14.55" customHeight="1" x14ac:dyDescent="0.3">
      <c r="B34" s="93" t="s">
        <v>243</v>
      </c>
      <c r="K34" s="137">
        <f>'Form 2D - Design'!AC75</f>
        <v>0</v>
      </c>
      <c r="L34" s="39" t="s">
        <v>247</v>
      </c>
      <c r="S34" s="100"/>
      <c r="U34" s="93" t="s">
        <v>243</v>
      </c>
      <c r="AD34" s="70"/>
      <c r="AE34" s="39" t="s">
        <v>247</v>
      </c>
      <c r="AM34" s="124">
        <f>IF(ISBLANK(AD34),1,2)</f>
        <v>1</v>
      </c>
      <c r="AU34" s="120" t="s">
        <v>116</v>
      </c>
      <c r="AV34" s="39" t="s">
        <v>102</v>
      </c>
      <c r="AW34" s="67"/>
      <c r="AX34" s="67"/>
    </row>
    <row r="35" spans="2:50" ht="14.55" customHeight="1" x14ac:dyDescent="0.3">
      <c r="E35" s="2" t="s">
        <v>175</v>
      </c>
      <c r="F35" s="185">
        <f>'Form 2D - Design'!M75</f>
        <v>0</v>
      </c>
      <c r="G35" s="185"/>
      <c r="H35" s="185"/>
      <c r="I35" s="185"/>
      <c r="S35" s="100"/>
      <c r="X35" s="2" t="s">
        <v>175</v>
      </c>
      <c r="Y35" s="155"/>
      <c r="Z35" s="155"/>
      <c r="AA35" s="155"/>
      <c r="AB35" s="155"/>
      <c r="AM35" s="124">
        <f>IF(ISBLANK(Y35),1,2)</f>
        <v>1</v>
      </c>
      <c r="AU35" s="120" t="s">
        <v>116</v>
      </c>
      <c r="AV35" s="39" t="str">
        <f>Tables!C24</f>
        <v xml:space="preserve"> O&amp;M Agreement</v>
      </c>
    </row>
    <row r="36" spans="2:50" ht="14.55" customHeight="1" x14ac:dyDescent="0.3">
      <c r="I36" s="39" t="s">
        <v>242</v>
      </c>
      <c r="N36" s="39" t="s">
        <v>43</v>
      </c>
      <c r="S36" s="100"/>
      <c r="AB36" s="39" t="s">
        <v>242</v>
      </c>
      <c r="AG36" s="39" t="s">
        <v>43</v>
      </c>
      <c r="AS36" s="24">
        <v>4</v>
      </c>
      <c r="AT36" s="116" t="s">
        <v>95</v>
      </c>
    </row>
    <row r="37" spans="2:50" ht="14.55" customHeight="1" x14ac:dyDescent="0.3">
      <c r="H37" s="2" t="s">
        <v>245</v>
      </c>
      <c r="I37" s="194">
        <f>'Form 2D - Design'!M76</f>
        <v>0</v>
      </c>
      <c r="J37" s="197"/>
      <c r="K37" s="197"/>
      <c r="L37" s="39" t="s">
        <v>44</v>
      </c>
      <c r="N37" s="194">
        <f>'Form 2D - Design'!W76</f>
        <v>0</v>
      </c>
      <c r="O37" s="197"/>
      <c r="P37" s="197"/>
      <c r="Q37" s="39" t="s">
        <v>45</v>
      </c>
      <c r="S37" s="100"/>
      <c r="AA37" s="2" t="s">
        <v>245</v>
      </c>
      <c r="AB37" s="150"/>
      <c r="AC37" s="150"/>
      <c r="AD37" s="150"/>
      <c r="AE37" s="39" t="s">
        <v>44</v>
      </c>
      <c r="AG37" s="150"/>
      <c r="AH37" s="150"/>
      <c r="AI37" s="150"/>
      <c r="AJ37" s="39" t="s">
        <v>45</v>
      </c>
      <c r="AT37" s="4" t="s">
        <v>98</v>
      </c>
      <c r="AU37" s="116" t="s">
        <v>339</v>
      </c>
    </row>
    <row r="38" spans="2:50" ht="14.55" customHeight="1" x14ac:dyDescent="0.3">
      <c r="H38" s="2" t="s">
        <v>244</v>
      </c>
      <c r="I38" s="183">
        <f>'Form 2D - Design'!M77</f>
        <v>0</v>
      </c>
      <c r="J38" s="187"/>
      <c r="K38" s="187"/>
      <c r="L38" s="39" t="s">
        <v>44</v>
      </c>
      <c r="N38" s="183">
        <f>'Form 2D - Design'!W77</f>
        <v>0</v>
      </c>
      <c r="O38" s="187"/>
      <c r="P38" s="187"/>
      <c r="Q38" s="39" t="s">
        <v>45</v>
      </c>
      <c r="S38" s="100"/>
      <c r="AA38" s="2" t="s">
        <v>244</v>
      </c>
      <c r="AB38" s="154"/>
      <c r="AC38" s="154"/>
      <c r="AD38" s="154"/>
      <c r="AE38" s="39" t="s">
        <v>44</v>
      </c>
      <c r="AG38" s="154"/>
      <c r="AH38" s="154"/>
      <c r="AI38" s="154"/>
      <c r="AJ38" s="39" t="s">
        <v>45</v>
      </c>
      <c r="AS38" s="39"/>
      <c r="AT38" s="4" t="s">
        <v>99</v>
      </c>
      <c r="AU38" s="116" t="s">
        <v>105</v>
      </c>
    </row>
    <row r="39" spans="2:50" ht="4.95" customHeight="1" x14ac:dyDescent="0.3">
      <c r="S39" s="100"/>
      <c r="AI39" s="11"/>
      <c r="AJ39" s="11"/>
      <c r="AS39" s="39"/>
      <c r="AV39" s="119"/>
    </row>
    <row r="40" spans="2:50" ht="14.55" customHeight="1" x14ac:dyDescent="0.3">
      <c r="B40" s="93" t="s">
        <v>269</v>
      </c>
      <c r="K40" s="137">
        <f>'Form 2D - Design'!AC79</f>
        <v>0</v>
      </c>
      <c r="L40" s="39" t="s">
        <v>281</v>
      </c>
      <c r="S40" s="100"/>
      <c r="U40" s="93" t="s">
        <v>269</v>
      </c>
      <c r="AD40" s="70"/>
      <c r="AE40" s="39" t="s">
        <v>281</v>
      </c>
      <c r="AK40" s="1"/>
      <c r="AM40" s="124">
        <f>IF(ISBLANK(AD40),1,2)</f>
        <v>1</v>
      </c>
      <c r="AT40" s="4" t="s">
        <v>113</v>
      </c>
      <c r="AU40" s="116" t="s">
        <v>106</v>
      </c>
    </row>
    <row r="41" spans="2:50" ht="4.95" customHeight="1" x14ac:dyDescent="0.3">
      <c r="S41" s="100"/>
    </row>
    <row r="42" spans="2:50" ht="14.55" customHeight="1" x14ac:dyDescent="0.3">
      <c r="E42" s="2" t="s">
        <v>175</v>
      </c>
      <c r="F42" s="185">
        <f>'Form 2D - Design'!M79</f>
        <v>0</v>
      </c>
      <c r="G42" s="185"/>
      <c r="H42" s="185"/>
      <c r="I42" s="185"/>
      <c r="N42" s="2" t="s">
        <v>174</v>
      </c>
      <c r="O42" s="194">
        <f>'Form 2D - Design'!M80</f>
        <v>0</v>
      </c>
      <c r="P42" s="194"/>
      <c r="Q42" s="194"/>
      <c r="R42" s="39" t="s">
        <v>44</v>
      </c>
      <c r="S42" s="100"/>
      <c r="X42" s="2" t="s">
        <v>175</v>
      </c>
      <c r="Y42" s="155"/>
      <c r="Z42" s="155"/>
      <c r="AA42" s="155"/>
      <c r="AB42" s="155"/>
      <c r="AF42" s="2" t="s">
        <v>174</v>
      </c>
      <c r="AG42" s="150"/>
      <c r="AH42" s="150"/>
      <c r="AI42" s="150"/>
      <c r="AJ42" s="39" t="s">
        <v>44</v>
      </c>
      <c r="AM42" s="124">
        <f>IF(ISBLANK(Y42),1,2)</f>
        <v>1</v>
      </c>
      <c r="AT42" s="4" t="s">
        <v>114</v>
      </c>
      <c r="AU42" s="116" t="s">
        <v>340</v>
      </c>
    </row>
    <row r="43" spans="2:50" ht="14.55" customHeight="1" x14ac:dyDescent="0.3">
      <c r="E43" s="2"/>
      <c r="N43" s="2" t="s">
        <v>280</v>
      </c>
      <c r="O43" s="195">
        <f>'Form 2D - Design'!W80</f>
        <v>0</v>
      </c>
      <c r="P43" s="195"/>
      <c r="Q43" s="195"/>
      <c r="R43" s="39" t="s">
        <v>241</v>
      </c>
      <c r="S43" s="100"/>
      <c r="AF43" s="2" t="s">
        <v>280</v>
      </c>
      <c r="AG43" s="149"/>
      <c r="AH43" s="149"/>
      <c r="AI43" s="149"/>
      <c r="AJ43" s="39" t="s">
        <v>241</v>
      </c>
      <c r="AT43" s="4" t="s">
        <v>112</v>
      </c>
      <c r="AU43" s="39" t="s">
        <v>341</v>
      </c>
    </row>
    <row r="44" spans="2:50" ht="4.95" customHeight="1" x14ac:dyDescent="0.3">
      <c r="S44" s="100"/>
      <c r="AS44" s="39"/>
    </row>
    <row r="45" spans="2:50" ht="14.55" customHeight="1" x14ac:dyDescent="0.3">
      <c r="B45" s="93" t="s">
        <v>273</v>
      </c>
      <c r="K45" s="137">
        <f>'Form 2D - Design'!AC82</f>
        <v>0</v>
      </c>
      <c r="L45" s="39" t="s">
        <v>313</v>
      </c>
      <c r="S45" s="100"/>
      <c r="U45" s="93" t="s">
        <v>273</v>
      </c>
      <c r="AD45" s="70"/>
      <c r="AE45" s="39" t="s">
        <v>313</v>
      </c>
      <c r="AM45" s="124">
        <f>IF(ISBLANK(AD45),1,2)</f>
        <v>1</v>
      </c>
      <c r="AS45" s="24">
        <v>5</v>
      </c>
      <c r="AT45" s="116" t="str">
        <f>"Form 3D – Bioretention Area As-built Certification Form shall be approved by the "&amp;Tables!C23&amp;" prior to:"</f>
        <v>Form 3D – Bioretention Area As-built Certification Form shall be approved by the City prior to:</v>
      </c>
    </row>
    <row r="46" spans="2:50" ht="4.95" customHeight="1" x14ac:dyDescent="0.3">
      <c r="B46" s="93"/>
      <c r="M46" s="2"/>
      <c r="N46" s="4"/>
      <c r="P46" s="2"/>
      <c r="Q46" s="4"/>
      <c r="S46" s="100"/>
      <c r="U46" s="93"/>
      <c r="AS46" s="39"/>
    </row>
    <row r="47" spans="2:50" ht="14.55" customHeight="1" x14ac:dyDescent="0.3">
      <c r="B47" s="93"/>
      <c r="M47" s="2" t="s">
        <v>170</v>
      </c>
      <c r="N47" s="137">
        <f>'Form 2D - Design'!AE86</f>
        <v>0</v>
      </c>
      <c r="O47" s="39" t="s">
        <v>130</v>
      </c>
      <c r="P47" s="2"/>
      <c r="Q47" s="137">
        <f>'Form 2D - Design'!AH86</f>
        <v>0</v>
      </c>
      <c r="R47" s="39" t="s">
        <v>131</v>
      </c>
      <c r="S47" s="100"/>
      <c r="U47" s="93"/>
      <c r="AF47" s="2" t="s">
        <v>170</v>
      </c>
      <c r="AG47" s="70"/>
      <c r="AH47" s="39" t="s">
        <v>130</v>
      </c>
      <c r="AI47" s="2"/>
      <c r="AJ47" s="70"/>
      <c r="AK47" s="39" t="s">
        <v>131</v>
      </c>
      <c r="AM47" s="124">
        <f>IF(AND(ISBLANK(AG47),ISBLANK(AJ47)),1,2)</f>
        <v>1</v>
      </c>
      <c r="AS47" s="39"/>
      <c r="AT47" s="4" t="s">
        <v>98</v>
      </c>
      <c r="AU47" s="116" t="s">
        <v>111</v>
      </c>
    </row>
    <row r="48" spans="2:50" ht="4.95" customHeight="1" x14ac:dyDescent="0.3">
      <c r="B48" s="93"/>
      <c r="M48" s="2"/>
      <c r="N48" s="4"/>
      <c r="P48" s="2"/>
      <c r="Q48" s="98"/>
      <c r="S48" s="100"/>
      <c r="U48" s="93"/>
      <c r="AF48" s="2"/>
      <c r="AG48" s="4"/>
      <c r="AI48" s="2"/>
      <c r="AJ48" s="98"/>
      <c r="AS48" s="39"/>
    </row>
    <row r="49" spans="2:47" ht="14.55" customHeight="1" x14ac:dyDescent="0.3">
      <c r="E49" s="2" t="s">
        <v>175</v>
      </c>
      <c r="F49" s="185">
        <f>'Form 2D - Design'!M82</f>
        <v>0</v>
      </c>
      <c r="G49" s="185"/>
      <c r="H49" s="185"/>
      <c r="I49" s="185"/>
      <c r="N49" s="2" t="s">
        <v>176</v>
      </c>
      <c r="O49" s="185">
        <f>'Form 2D - Design'!W82</f>
        <v>0</v>
      </c>
      <c r="P49" s="185"/>
      <c r="Q49" s="185"/>
      <c r="S49" s="100"/>
      <c r="X49" s="2" t="s">
        <v>175</v>
      </c>
      <c r="Y49" s="155"/>
      <c r="Z49" s="155"/>
      <c r="AA49" s="155"/>
      <c r="AB49" s="155"/>
      <c r="AG49" s="2" t="s">
        <v>176</v>
      </c>
      <c r="AH49" s="155"/>
      <c r="AI49" s="155"/>
      <c r="AJ49" s="155"/>
      <c r="AM49" s="124">
        <f>IF(ISBLANK(Y49),1,2)</f>
        <v>1</v>
      </c>
      <c r="AS49" s="39"/>
      <c r="AT49" s="4" t="s">
        <v>99</v>
      </c>
      <c r="AU49" s="116" t="s">
        <v>107</v>
      </c>
    </row>
    <row r="50" spans="2:47" ht="14.55" customHeight="1" x14ac:dyDescent="0.3">
      <c r="E50" s="2" t="s">
        <v>174</v>
      </c>
      <c r="F50" s="183">
        <f>'Form 2D - Design'!M84</f>
        <v>0</v>
      </c>
      <c r="G50" s="183"/>
      <c r="H50" s="183"/>
      <c r="I50" s="39" t="s">
        <v>44</v>
      </c>
      <c r="S50" s="100"/>
      <c r="X50" s="2" t="s">
        <v>174</v>
      </c>
      <c r="Y50" s="154"/>
      <c r="Z50" s="154"/>
      <c r="AA50" s="154"/>
      <c r="AB50" s="39" t="s">
        <v>44</v>
      </c>
      <c r="AM50" s="124">
        <f>IF(ISBLANK(Y50),1,2)</f>
        <v>1</v>
      </c>
      <c r="AS50" s="39"/>
    </row>
    <row r="51" spans="2:47" ht="14.55" customHeight="1" x14ac:dyDescent="0.3">
      <c r="E51" s="2" t="s">
        <v>173</v>
      </c>
      <c r="F51" s="183">
        <f>'Form 2D - Design'!W84</f>
        <v>0</v>
      </c>
      <c r="G51" s="183"/>
      <c r="H51" s="183"/>
      <c r="I51" s="39" t="s">
        <v>45</v>
      </c>
      <c r="N51" s="2" t="s">
        <v>177</v>
      </c>
      <c r="O51" s="194">
        <f>'Form 2D - Design'!AF84</f>
        <v>0</v>
      </c>
      <c r="P51" s="194"/>
      <c r="Q51" s="194"/>
      <c r="R51" s="39" t="s">
        <v>45</v>
      </c>
      <c r="S51" s="100"/>
      <c r="X51" s="2" t="s">
        <v>173</v>
      </c>
      <c r="Y51" s="154"/>
      <c r="Z51" s="154"/>
      <c r="AA51" s="154"/>
      <c r="AB51" s="39" t="s">
        <v>45</v>
      </c>
      <c r="AG51" s="2" t="s">
        <v>177</v>
      </c>
      <c r="AH51" s="150"/>
      <c r="AI51" s="150"/>
      <c r="AJ51" s="150"/>
      <c r="AK51" s="39" t="s">
        <v>45</v>
      </c>
      <c r="AM51" s="124">
        <f>IF(AND(ISBLANK(Y51),ISBLANK(AH51)),1,2)</f>
        <v>1</v>
      </c>
    </row>
    <row r="52" spans="2:47" ht="14.55" customHeight="1" x14ac:dyDescent="0.3">
      <c r="E52" s="2" t="s">
        <v>308</v>
      </c>
      <c r="F52" s="183">
        <f>'Form 2D - Design'!M86</f>
        <v>0</v>
      </c>
      <c r="G52" s="183"/>
      <c r="H52" s="183"/>
      <c r="I52" s="39" t="s">
        <v>45</v>
      </c>
      <c r="N52" s="2" t="s">
        <v>309</v>
      </c>
      <c r="O52" s="183">
        <f>'Form 2D - Design'!W86</f>
        <v>0</v>
      </c>
      <c r="P52" s="183"/>
      <c r="Q52" s="183"/>
      <c r="R52" s="39" t="s">
        <v>45</v>
      </c>
      <c r="S52" s="100"/>
      <c r="X52" s="2" t="s">
        <v>308</v>
      </c>
      <c r="Y52" s="154"/>
      <c r="Z52" s="154"/>
      <c r="AA52" s="154"/>
      <c r="AB52" s="39" t="s">
        <v>45</v>
      </c>
      <c r="AG52" s="2" t="s">
        <v>309</v>
      </c>
      <c r="AH52" s="154"/>
      <c r="AI52" s="154"/>
      <c r="AJ52" s="154"/>
      <c r="AK52" s="39" t="s">
        <v>45</v>
      </c>
    </row>
    <row r="53" spans="2:47" ht="4.95" customHeight="1" x14ac:dyDescent="0.3">
      <c r="S53" s="100"/>
    </row>
    <row r="54" spans="2:47" ht="14.55" customHeight="1" x14ac:dyDescent="0.3">
      <c r="B54" s="93" t="s">
        <v>274</v>
      </c>
      <c r="E54" s="2"/>
      <c r="F54" s="2"/>
      <c r="G54" s="2"/>
      <c r="H54" s="2"/>
      <c r="I54" s="2"/>
      <c r="J54" s="2"/>
      <c r="S54" s="100"/>
      <c r="U54" s="93" t="s">
        <v>274</v>
      </c>
      <c r="X54" s="2"/>
      <c r="Y54" s="2"/>
      <c r="Z54" s="2"/>
      <c r="AA54" s="2"/>
      <c r="AB54" s="2"/>
      <c r="AC54" s="2"/>
    </row>
    <row r="55" spans="2:47" ht="14.55" customHeight="1" x14ac:dyDescent="0.3">
      <c r="E55" s="2" t="s">
        <v>175</v>
      </c>
      <c r="F55" s="185">
        <f>'Form 2D - Design'!M88</f>
        <v>0</v>
      </c>
      <c r="G55" s="185"/>
      <c r="H55" s="185"/>
      <c r="I55" s="185"/>
      <c r="N55" s="2" t="s">
        <v>176</v>
      </c>
      <c r="O55" s="185">
        <f>'Form 2D - Design'!W88</f>
        <v>0</v>
      </c>
      <c r="P55" s="185"/>
      <c r="Q55" s="185"/>
      <c r="S55" s="100"/>
      <c r="X55" s="2" t="s">
        <v>175</v>
      </c>
      <c r="Y55" s="155"/>
      <c r="Z55" s="155"/>
      <c r="AA55" s="155"/>
      <c r="AB55" s="155"/>
      <c r="AG55" s="2" t="s">
        <v>176</v>
      </c>
      <c r="AH55" s="207"/>
      <c r="AI55" s="207"/>
      <c r="AJ55" s="207"/>
    </row>
    <row r="56" spans="2:47" ht="14.55" customHeight="1" x14ac:dyDescent="0.3">
      <c r="E56" s="2" t="s">
        <v>174</v>
      </c>
      <c r="F56" s="183">
        <f>'Form 2D - Design'!M89</f>
        <v>0</v>
      </c>
      <c r="G56" s="183"/>
      <c r="H56" s="183"/>
      <c r="I56" s="39" t="s">
        <v>44</v>
      </c>
      <c r="N56" s="2" t="s">
        <v>254</v>
      </c>
      <c r="O56" s="183">
        <f>'Form 2D - Design'!AF88</f>
        <v>0</v>
      </c>
      <c r="P56" s="183"/>
      <c r="Q56" s="183"/>
      <c r="R56" s="39" t="s">
        <v>45</v>
      </c>
      <c r="S56" s="100"/>
      <c r="X56" s="2" t="s">
        <v>174</v>
      </c>
      <c r="Y56" s="154"/>
      <c r="Z56" s="154"/>
      <c r="AA56" s="154"/>
      <c r="AB56" s="39" t="s">
        <v>44</v>
      </c>
      <c r="AG56" s="2" t="s">
        <v>254</v>
      </c>
      <c r="AH56" s="154"/>
      <c r="AI56" s="154"/>
      <c r="AJ56" s="154"/>
      <c r="AK56" s="39" t="s">
        <v>45</v>
      </c>
      <c r="AM56" s="124">
        <f>IF(ISBLANK(Y56),1,2)</f>
        <v>1</v>
      </c>
    </row>
    <row r="57" spans="2:47" ht="14.55" customHeight="1" x14ac:dyDescent="0.3">
      <c r="E57" s="2" t="s">
        <v>173</v>
      </c>
      <c r="F57" s="183">
        <f>'Form 2D - Design'!W89</f>
        <v>0</v>
      </c>
      <c r="G57" s="183"/>
      <c r="H57" s="183"/>
      <c r="I57" s="39" t="s">
        <v>45</v>
      </c>
      <c r="N57" s="2" t="s">
        <v>177</v>
      </c>
      <c r="O57" s="194">
        <f>'Form 2D - Design'!AF89</f>
        <v>0</v>
      </c>
      <c r="P57" s="194"/>
      <c r="Q57" s="194"/>
      <c r="R57" s="39" t="s">
        <v>45</v>
      </c>
      <c r="S57" s="100"/>
      <c r="X57" s="2" t="s">
        <v>173</v>
      </c>
      <c r="Y57" s="154"/>
      <c r="Z57" s="154"/>
      <c r="AA57" s="154"/>
      <c r="AB57" s="39" t="s">
        <v>45</v>
      </c>
      <c r="AG57" s="2" t="s">
        <v>177</v>
      </c>
      <c r="AH57" s="150"/>
      <c r="AI57" s="150"/>
      <c r="AJ57" s="150"/>
      <c r="AK57" s="39" t="s">
        <v>45</v>
      </c>
      <c r="AM57" s="124">
        <f>IF(AND(ISBLANK(Y57),ISBLANK(AH57)),1,2)</f>
        <v>1</v>
      </c>
    </row>
    <row r="58" spans="2:47" ht="4.95" customHeight="1" x14ac:dyDescent="0.3">
      <c r="S58" s="100"/>
      <c r="AS58" s="39"/>
    </row>
    <row r="59" spans="2:47" ht="15" customHeight="1" x14ac:dyDescent="0.3">
      <c r="AK59" s="41"/>
      <c r="AS59" s="39"/>
    </row>
    <row r="60" spans="2:47" ht="15" customHeight="1" x14ac:dyDescent="0.3">
      <c r="B60" s="142">
        <f>Tables!$C$13</f>
        <v>45383</v>
      </c>
      <c r="C60" s="142"/>
      <c r="D60" s="142"/>
      <c r="E60" s="142"/>
      <c r="F60" s="142"/>
      <c r="G60" s="142"/>
      <c r="H60" s="142"/>
      <c r="R60" s="143" t="s">
        <v>343</v>
      </c>
      <c r="S60" s="143"/>
      <c r="T60" s="143"/>
      <c r="U60" s="143"/>
      <c r="AK60" s="41"/>
      <c r="AS60" s="39"/>
    </row>
    <row r="61" spans="2:47" ht="15" customHeight="1" x14ac:dyDescent="0.3">
      <c r="C61" s="2" t="s">
        <v>1</v>
      </c>
      <c r="D61" s="145">
        <f>IF(ISBLANK($E$15),"",$E$15)</f>
        <v>0</v>
      </c>
      <c r="E61" s="145"/>
      <c r="F61" s="145"/>
      <c r="G61" s="145"/>
      <c r="H61" s="145"/>
      <c r="I61" s="145"/>
      <c r="J61" s="145"/>
      <c r="K61" s="145"/>
      <c r="L61" s="145"/>
      <c r="M61" s="145"/>
      <c r="N61" s="145"/>
      <c r="O61" s="145"/>
      <c r="P61" s="145"/>
      <c r="Q61" s="145"/>
      <c r="R61" s="145"/>
      <c r="S61" s="145"/>
      <c r="T61" s="145"/>
      <c r="U61" s="145"/>
      <c r="V61" s="145"/>
      <c r="W61" s="145"/>
      <c r="X61" s="145"/>
      <c r="Y61" s="145"/>
      <c r="Z61" s="145"/>
      <c r="AA61" s="46"/>
      <c r="AB61" s="46"/>
      <c r="AC61" s="46"/>
      <c r="AF61" s="2" t="s">
        <v>21</v>
      </c>
      <c r="AG61" s="146">
        <f>AF15</f>
        <v>0</v>
      </c>
      <c r="AH61" s="146"/>
      <c r="AI61" s="146"/>
      <c r="AJ61" s="146"/>
      <c r="AK61" s="146"/>
      <c r="AS61" s="39"/>
    </row>
    <row r="62" spans="2:47" ht="15" customHeight="1" x14ac:dyDescent="0.3">
      <c r="H62" s="47"/>
      <c r="I62" s="47"/>
      <c r="J62" s="2"/>
      <c r="K62" s="2"/>
      <c r="L62" s="2"/>
      <c r="M62" s="47"/>
      <c r="N62" s="46"/>
      <c r="O62" s="46"/>
      <c r="P62" s="46"/>
      <c r="Q62" s="46"/>
      <c r="R62" s="46"/>
      <c r="S62" s="46"/>
      <c r="T62" s="46"/>
      <c r="U62" s="46"/>
      <c r="V62" s="46"/>
      <c r="W62" s="46"/>
      <c r="X62" s="46"/>
      <c r="Y62" s="46"/>
      <c r="Z62" s="46"/>
      <c r="AA62" s="46"/>
      <c r="AB62" s="46"/>
      <c r="AC62" s="46"/>
      <c r="AF62" s="2" t="s">
        <v>35</v>
      </c>
      <c r="AG62" s="199">
        <f>IF(ISBLANK($AF$16),"",$AF$16)</f>
        <v>0</v>
      </c>
      <c r="AH62" s="199"/>
      <c r="AI62" s="199"/>
      <c r="AJ62" s="199"/>
      <c r="AK62" s="199"/>
      <c r="AS62" s="39"/>
    </row>
    <row r="63" spans="2:47" ht="15" customHeight="1" x14ac:dyDescent="0.3">
      <c r="B63" s="1" t="s">
        <v>59</v>
      </c>
      <c r="H63" s="47"/>
      <c r="I63" s="47"/>
      <c r="J63" s="2"/>
      <c r="K63" s="2"/>
      <c r="L63" s="2"/>
      <c r="M63" s="47"/>
      <c r="N63" s="46"/>
      <c r="O63" s="46"/>
      <c r="P63" s="46"/>
      <c r="Q63" s="46"/>
      <c r="R63" s="46"/>
      <c r="T63" s="100"/>
      <c r="V63" s="1" t="s">
        <v>60</v>
      </c>
      <c r="W63" s="1"/>
      <c r="X63" s="1"/>
      <c r="Y63" s="1"/>
      <c r="Z63" s="1"/>
      <c r="AA63" s="1"/>
      <c r="AB63" s="1"/>
      <c r="AC63" s="1"/>
      <c r="AD63" s="1"/>
      <c r="AE63" s="1"/>
      <c r="AF63" s="1"/>
      <c r="AG63" s="1"/>
      <c r="AH63" s="1"/>
      <c r="AI63" s="1"/>
      <c r="AJ63" s="1"/>
      <c r="AK63" s="1"/>
      <c r="AL63" s="1"/>
      <c r="AS63" s="39"/>
    </row>
    <row r="64" spans="2:47" ht="15" customHeight="1" x14ac:dyDescent="0.3">
      <c r="B64" s="93" t="s">
        <v>310</v>
      </c>
      <c r="J64" s="39" t="s">
        <v>238</v>
      </c>
      <c r="O64" s="39" t="s">
        <v>310</v>
      </c>
      <c r="T64" s="100"/>
      <c r="V64" s="93" t="s">
        <v>310</v>
      </c>
      <c r="AC64" s="39" t="s">
        <v>238</v>
      </c>
      <c r="AH64" s="39" t="s">
        <v>310</v>
      </c>
      <c r="AS64" s="39"/>
    </row>
    <row r="65" spans="1:45" ht="15" customHeight="1" x14ac:dyDescent="0.3">
      <c r="I65" s="2" t="s">
        <v>311</v>
      </c>
      <c r="J65" s="194">
        <f>'Form 2D - Design'!M91</f>
        <v>0</v>
      </c>
      <c r="K65" s="197"/>
      <c r="L65" s="197"/>
      <c r="M65" s="39" t="s">
        <v>44</v>
      </c>
      <c r="O65" s="194">
        <f>'Form 2D - Design'!W91</f>
        <v>0</v>
      </c>
      <c r="P65" s="197"/>
      <c r="Q65" s="197"/>
      <c r="R65" s="39" t="s">
        <v>278</v>
      </c>
      <c r="T65" s="100"/>
      <c r="AB65" s="2" t="s">
        <v>311</v>
      </c>
      <c r="AC65" s="150"/>
      <c r="AD65" s="150"/>
      <c r="AE65" s="150"/>
      <c r="AF65" s="39" t="s">
        <v>44</v>
      </c>
      <c r="AH65" s="150"/>
      <c r="AI65" s="150"/>
      <c r="AJ65" s="150"/>
      <c r="AK65" s="39" t="s">
        <v>278</v>
      </c>
      <c r="AS65" s="39"/>
    </row>
    <row r="66" spans="1:45" ht="15" customHeight="1" x14ac:dyDescent="0.3">
      <c r="I66" s="2" t="s">
        <v>312</v>
      </c>
      <c r="J66" s="183">
        <f>'Form 2D - Design'!M93</f>
        <v>0</v>
      </c>
      <c r="K66" s="187"/>
      <c r="L66" s="187"/>
      <c r="M66" s="39" t="s">
        <v>44</v>
      </c>
      <c r="O66" s="183">
        <f>'Form 2D - Design'!W93</f>
        <v>0</v>
      </c>
      <c r="P66" s="187"/>
      <c r="Q66" s="187"/>
      <c r="R66" s="39" t="s">
        <v>278</v>
      </c>
      <c r="T66" s="100"/>
      <c r="AB66" s="2" t="s">
        <v>312</v>
      </c>
      <c r="AC66" s="154"/>
      <c r="AD66" s="154"/>
      <c r="AE66" s="154"/>
      <c r="AF66" s="39" t="s">
        <v>44</v>
      </c>
      <c r="AH66" s="154"/>
      <c r="AI66" s="154"/>
      <c r="AJ66" s="154"/>
      <c r="AK66" s="39" t="s">
        <v>278</v>
      </c>
      <c r="AS66" s="39"/>
    </row>
    <row r="67" spans="1:45" ht="4.95" customHeight="1" x14ac:dyDescent="0.3">
      <c r="B67" s="2"/>
      <c r="C67" s="2"/>
      <c r="D67" s="2"/>
      <c r="E67" s="2"/>
      <c r="F67" s="2"/>
      <c r="G67" s="2"/>
      <c r="J67" s="41"/>
      <c r="K67" s="41"/>
      <c r="L67" s="41"/>
      <c r="N67" s="41"/>
      <c r="O67" s="41"/>
      <c r="P67" s="41"/>
      <c r="R67" s="41"/>
      <c r="S67" s="41"/>
      <c r="T67" s="41"/>
      <c r="AA67" s="41"/>
      <c r="AB67" s="41"/>
      <c r="AC67" s="41"/>
      <c r="AE67" s="41"/>
      <c r="AF67" s="41"/>
      <c r="AG67" s="41"/>
      <c r="AI67" s="41"/>
      <c r="AJ67" s="41"/>
      <c r="AK67" s="41"/>
      <c r="AS67" s="39"/>
    </row>
    <row r="68" spans="1:45" ht="15" customHeight="1" x14ac:dyDescent="0.3">
      <c r="A68" s="182" t="s">
        <v>14</v>
      </c>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26"/>
      <c r="AO68" s="86" t="s">
        <v>455</v>
      </c>
      <c r="AP68" s="124">
        <f>IF(AND(ISBLANK(Z70),ISBLANK(AC70)),1,IF(LEN(Z70)&gt;0,1,0))</f>
        <v>1</v>
      </c>
      <c r="AS68" s="39"/>
    </row>
    <row r="69" spans="1:45" ht="4.9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126"/>
      <c r="AN69" s="126"/>
      <c r="AS69" s="39"/>
    </row>
    <row r="70" spans="1:45" ht="15" customHeight="1" x14ac:dyDescent="0.3">
      <c r="B70" s="1" t="s">
        <v>59</v>
      </c>
      <c r="C70" s="1"/>
      <c r="D70" s="1"/>
      <c r="E70" s="1"/>
      <c r="F70" s="137">
        <f>'Form 2D - Design'!K95</f>
        <v>0</v>
      </c>
      <c r="G70" s="39" t="s">
        <v>130</v>
      </c>
      <c r="I70" s="137">
        <f>'Form 2D - Design'!N95</f>
        <v>0</v>
      </c>
      <c r="J70" s="39" t="s">
        <v>131</v>
      </c>
      <c r="K70" s="1"/>
      <c r="L70" s="1"/>
      <c r="M70" s="1"/>
      <c r="N70" s="1"/>
      <c r="O70" s="1"/>
      <c r="P70" s="1"/>
      <c r="Q70" s="1"/>
      <c r="R70" s="1"/>
      <c r="S70" s="1"/>
      <c r="T70" s="100"/>
      <c r="V70" s="1" t="s">
        <v>60</v>
      </c>
      <c r="W70" s="1"/>
      <c r="X70" s="1"/>
      <c r="Y70" s="1"/>
      <c r="Z70" s="70"/>
      <c r="AA70" s="39" t="s">
        <v>130</v>
      </c>
      <c r="AC70" s="70"/>
      <c r="AD70" s="39" t="s">
        <v>131</v>
      </c>
      <c r="AE70" s="1"/>
      <c r="AF70" s="1"/>
      <c r="AG70" s="1"/>
      <c r="AH70" s="1"/>
      <c r="AI70" s="69"/>
      <c r="AJ70" s="69"/>
      <c r="AM70" s="124">
        <f>IF(AND(ISBLANK(Z70),ISBLANK(AC70)),1,2)</f>
        <v>1</v>
      </c>
      <c r="AN70" s="124">
        <f>IF(ISBLANK(AC70),1,2)</f>
        <v>1</v>
      </c>
      <c r="AO70" s="86" t="s">
        <v>84</v>
      </c>
      <c r="AP70" s="124">
        <f>SUM(AN71:AN73,AP71:AP73)</f>
        <v>0</v>
      </c>
      <c r="AQ70" s="124">
        <f>IF(ISBLANK(Z70),1,2)</f>
        <v>1</v>
      </c>
      <c r="AS70" s="39"/>
    </row>
    <row r="71" spans="1:45" ht="15" customHeight="1" x14ac:dyDescent="0.3">
      <c r="C71" s="2"/>
      <c r="D71" s="2" t="s">
        <v>30</v>
      </c>
      <c r="E71" s="145">
        <f>'Form 2D - Design'!F97</f>
        <v>0</v>
      </c>
      <c r="F71" s="145"/>
      <c r="G71" s="145"/>
      <c r="H71" s="145"/>
      <c r="N71" s="2" t="s">
        <v>33</v>
      </c>
      <c r="O71" s="145">
        <f>'Form 2D - Design'!O97</f>
        <v>0</v>
      </c>
      <c r="P71" s="145"/>
      <c r="Q71" s="145"/>
      <c r="R71" s="145"/>
      <c r="T71" s="100"/>
      <c r="X71" s="2" t="s">
        <v>30</v>
      </c>
      <c r="Y71" s="155"/>
      <c r="Z71" s="155"/>
      <c r="AA71" s="155"/>
      <c r="AB71" s="155"/>
      <c r="AG71" s="2" t="s">
        <v>33</v>
      </c>
      <c r="AH71" s="155"/>
      <c r="AI71" s="155"/>
      <c r="AJ71" s="155"/>
      <c r="AK71" s="155"/>
      <c r="AM71" s="86" t="s">
        <v>24</v>
      </c>
      <c r="AN71" s="124">
        <f>IF(ISBLANK(Y71),0,1)</f>
        <v>0</v>
      </c>
      <c r="AO71" s="86" t="s">
        <v>34</v>
      </c>
      <c r="AP71" s="124">
        <f>IF(ISBLANK(AH71),0,1)</f>
        <v>0</v>
      </c>
      <c r="AS71" s="39"/>
    </row>
    <row r="72" spans="1:45" ht="15" customHeight="1" x14ac:dyDescent="0.3">
      <c r="C72" s="2"/>
      <c r="D72" s="2" t="s">
        <v>42</v>
      </c>
      <c r="E72" s="191">
        <f>'Form 2D - Design'!F98</f>
        <v>0</v>
      </c>
      <c r="F72" s="191"/>
      <c r="G72" s="191"/>
      <c r="H72" s="39" t="s">
        <v>45</v>
      </c>
      <c r="N72" s="2" t="s">
        <v>46</v>
      </c>
      <c r="O72" s="191">
        <f>'Form 2D - Design'!O98</f>
        <v>0</v>
      </c>
      <c r="P72" s="191"/>
      <c r="Q72" s="191"/>
      <c r="R72" s="39" t="s">
        <v>45</v>
      </c>
      <c r="T72" s="100"/>
      <c r="X72" s="2" t="s">
        <v>42</v>
      </c>
      <c r="Y72" s="154"/>
      <c r="Z72" s="154"/>
      <c r="AA72" s="154"/>
      <c r="AB72" s="39" t="s">
        <v>45</v>
      </c>
      <c r="AG72" s="2" t="s">
        <v>46</v>
      </c>
      <c r="AH72" s="154"/>
      <c r="AI72" s="154"/>
      <c r="AJ72" s="154"/>
      <c r="AK72" s="39" t="s">
        <v>45</v>
      </c>
      <c r="AM72" s="86" t="s">
        <v>55</v>
      </c>
      <c r="AN72" s="124">
        <f>IF(ISBLANK(Y72),0,1)</f>
        <v>0</v>
      </c>
      <c r="AO72" s="86" t="s">
        <v>81</v>
      </c>
      <c r="AP72" s="124">
        <f>IF(ISBLANK(AH72),0,1)</f>
        <v>0</v>
      </c>
      <c r="AS72" s="39"/>
    </row>
    <row r="73" spans="1:45" ht="15" customHeight="1" x14ac:dyDescent="0.3">
      <c r="C73" s="2"/>
      <c r="D73" s="2" t="s">
        <v>47</v>
      </c>
      <c r="E73" s="191">
        <f>'Form 2D - Design'!W98</f>
        <v>0</v>
      </c>
      <c r="F73" s="191"/>
      <c r="G73" s="191"/>
      <c r="H73" s="39" t="s">
        <v>45</v>
      </c>
      <c r="N73" s="2" t="s">
        <v>122</v>
      </c>
      <c r="O73" s="191">
        <f>'Form 2D - Design'!AF98</f>
        <v>0</v>
      </c>
      <c r="P73" s="191"/>
      <c r="Q73" s="191"/>
      <c r="R73" s="39" t="s">
        <v>45</v>
      </c>
      <c r="T73" s="100"/>
      <c r="X73" s="2" t="s">
        <v>47</v>
      </c>
      <c r="Y73" s="154"/>
      <c r="Z73" s="154"/>
      <c r="AA73" s="154"/>
      <c r="AB73" s="39" t="s">
        <v>45</v>
      </c>
      <c r="AG73" s="2" t="s">
        <v>122</v>
      </c>
      <c r="AH73" s="154"/>
      <c r="AI73" s="154"/>
      <c r="AJ73" s="154"/>
      <c r="AK73" s="39" t="s">
        <v>45</v>
      </c>
      <c r="AM73" s="86" t="s">
        <v>82</v>
      </c>
      <c r="AN73" s="124">
        <f>IF(ISBLANK(Y73),0,1)</f>
        <v>0</v>
      </c>
      <c r="AO73" s="86" t="s">
        <v>83</v>
      </c>
      <c r="AP73" s="124">
        <f>IF(ISBLANK(AH73),0,1)</f>
        <v>0</v>
      </c>
      <c r="AS73" s="39"/>
    </row>
    <row r="74" spans="1:45" ht="4.95" customHeight="1" x14ac:dyDescent="0.3">
      <c r="B74" s="2"/>
      <c r="C74" s="2"/>
      <c r="D74" s="2"/>
      <c r="E74" s="2"/>
      <c r="F74" s="2"/>
      <c r="G74" s="2"/>
      <c r="H74" s="41"/>
      <c r="M74" s="2"/>
      <c r="N74" s="41"/>
      <c r="O74" s="41"/>
      <c r="P74" s="41"/>
      <c r="U74" s="2"/>
      <c r="V74" s="2"/>
      <c r="W74" s="41"/>
      <c r="X74" s="41"/>
      <c r="Y74" s="41"/>
      <c r="AD74" s="2"/>
      <c r="AE74" s="41"/>
      <c r="AF74" s="41"/>
      <c r="AG74" s="41"/>
      <c r="AM74" s="86"/>
      <c r="AO74" s="86"/>
      <c r="AS74" s="39"/>
    </row>
    <row r="75" spans="1:45" s="5" customFormat="1" ht="15" customHeight="1" x14ac:dyDescent="0.3">
      <c r="A75" s="184" t="s">
        <v>15</v>
      </c>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31"/>
      <c r="AN75" s="126"/>
      <c r="AO75" s="131"/>
      <c r="AP75" s="126"/>
      <c r="AQ75" s="23"/>
    </row>
    <row r="76" spans="1:45" ht="15" customHeight="1" x14ac:dyDescent="0.3">
      <c r="B76" s="1" t="s">
        <v>59</v>
      </c>
      <c r="C76" s="1"/>
      <c r="D76" s="1"/>
      <c r="E76" s="1"/>
      <c r="F76" s="1"/>
      <c r="H76" s="42" t="s">
        <v>48</v>
      </c>
      <c r="I76" s="203">
        <f>'Form 2D - Design'!O117</f>
        <v>0</v>
      </c>
      <c r="J76" s="203"/>
      <c r="K76" s="203"/>
      <c r="L76" s="203"/>
      <c r="O76" s="72"/>
      <c r="P76" s="72"/>
      <c r="Q76" s="1"/>
      <c r="R76" s="1"/>
      <c r="S76" s="1"/>
      <c r="T76" s="100"/>
      <c r="V76" s="1" t="s">
        <v>60</v>
      </c>
      <c r="W76" s="1"/>
      <c r="X76" s="1"/>
      <c r="Y76" s="43"/>
      <c r="AA76" s="42"/>
      <c r="AC76" s="42" t="s">
        <v>48</v>
      </c>
      <c r="AD76" s="177"/>
      <c r="AE76" s="177"/>
      <c r="AF76" s="177"/>
      <c r="AG76" s="177"/>
      <c r="AH76" s="43"/>
      <c r="AI76" s="43"/>
      <c r="AJ76" s="43"/>
      <c r="AK76" s="43"/>
      <c r="AM76" s="86" t="s">
        <v>155</v>
      </c>
      <c r="AN76" s="124">
        <f>IF(ISBLANK(AD76),0,1)</f>
        <v>0</v>
      </c>
      <c r="AO76" s="86" t="s">
        <v>157</v>
      </c>
      <c r="AP76" s="124">
        <f>SUM(AN76:AN77)</f>
        <v>0</v>
      </c>
      <c r="AS76" s="39"/>
    </row>
    <row r="77" spans="1:45" ht="15" customHeight="1" x14ac:dyDescent="0.3">
      <c r="B77" s="1"/>
      <c r="C77" s="1"/>
      <c r="D77" s="1"/>
      <c r="E77" s="1"/>
      <c r="F77" s="1"/>
      <c r="H77" s="2" t="s">
        <v>49</v>
      </c>
      <c r="I77" s="204">
        <f>'Form 2D - Design'!W117</f>
        <v>0</v>
      </c>
      <c r="J77" s="204"/>
      <c r="K77" s="204"/>
      <c r="L77" s="204"/>
      <c r="O77" s="72"/>
      <c r="P77" s="72"/>
      <c r="Q77" s="44"/>
      <c r="T77" s="100"/>
      <c r="AA77" s="2"/>
      <c r="AC77" s="2" t="s">
        <v>49</v>
      </c>
      <c r="AD77" s="205"/>
      <c r="AE77" s="205"/>
      <c r="AF77" s="205"/>
      <c r="AG77" s="205"/>
      <c r="AM77" s="86" t="s">
        <v>156</v>
      </c>
      <c r="AN77" s="124">
        <f>IF(ISBLANK(AD77),0,1)</f>
        <v>0</v>
      </c>
      <c r="AS77" s="39"/>
    </row>
    <row r="78" spans="1:45" ht="4.95" customHeight="1" x14ac:dyDescent="0.3">
      <c r="B78" s="1"/>
      <c r="C78" s="1"/>
      <c r="D78" s="1"/>
      <c r="E78" s="1"/>
      <c r="F78" s="1"/>
      <c r="G78" s="1"/>
      <c r="J78" s="2"/>
      <c r="K78" s="2"/>
      <c r="L78" s="2"/>
      <c r="M78" s="44"/>
      <c r="N78" s="44"/>
      <c r="O78" s="44"/>
      <c r="P78" s="44"/>
      <c r="Q78" s="44"/>
      <c r="U78" s="2"/>
      <c r="Z78" s="2"/>
      <c r="AA78" s="2"/>
      <c r="AB78" s="2"/>
      <c r="AC78" s="44"/>
      <c r="AD78" s="44"/>
      <c r="AE78" s="44"/>
      <c r="AF78" s="44"/>
      <c r="AS78" s="39"/>
    </row>
    <row r="79" spans="1:45" ht="15" customHeight="1" x14ac:dyDescent="0.3">
      <c r="A79" s="182" t="s">
        <v>61</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26"/>
      <c r="AN79" s="126"/>
      <c r="AS79" s="39"/>
    </row>
    <row r="80" spans="1:45" ht="15" customHeight="1" x14ac:dyDescent="0.3">
      <c r="B80" s="1" t="s">
        <v>59</v>
      </c>
      <c r="C80" s="1"/>
      <c r="D80" s="1"/>
      <c r="E80" s="1"/>
      <c r="F80" s="1"/>
      <c r="I80" s="40" t="s">
        <v>62</v>
      </c>
      <c r="J80" s="206">
        <f>'Form 2D - Design'!W27</f>
        <v>0</v>
      </c>
      <c r="K80" s="206"/>
      <c r="L80" s="206"/>
      <c r="M80" s="39" t="s">
        <v>39</v>
      </c>
      <c r="T80" s="100"/>
      <c r="V80" s="1" t="s">
        <v>60</v>
      </c>
      <c r="W80" s="1"/>
      <c r="X80" s="1"/>
      <c r="AC80" s="40" t="s">
        <v>63</v>
      </c>
      <c r="AD80" s="162"/>
      <c r="AE80" s="162"/>
      <c r="AF80" s="162"/>
      <c r="AG80" s="39" t="s">
        <v>39</v>
      </c>
      <c r="AM80" s="86" t="s">
        <v>160</v>
      </c>
      <c r="AN80" s="124">
        <f>IF(OR(AD80&gt;J80,AD80=J80),1,2)</f>
        <v>1</v>
      </c>
      <c r="AS80" s="39"/>
    </row>
    <row r="81" spans="1:45" ht="4.95" customHeight="1" x14ac:dyDescent="0.3">
      <c r="B81" s="1"/>
      <c r="C81" s="1"/>
      <c r="D81" s="1"/>
      <c r="E81" s="1"/>
      <c r="F81" s="1"/>
      <c r="G81" s="1"/>
      <c r="H81" s="1"/>
      <c r="M81" s="40"/>
      <c r="N81" s="7"/>
      <c r="O81" s="7"/>
      <c r="P81" s="7"/>
      <c r="U81" s="2"/>
      <c r="V81" s="40"/>
      <c r="W81" s="43"/>
      <c r="X81" s="43"/>
      <c r="Y81" s="43"/>
      <c r="AD81" s="40"/>
      <c r="AE81" s="45"/>
      <c r="AF81" s="45"/>
      <c r="AG81" s="45"/>
      <c r="AS81" s="39"/>
    </row>
    <row r="82" spans="1:45" ht="15" customHeight="1" x14ac:dyDescent="0.3">
      <c r="A82" s="182" t="s">
        <v>16</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26"/>
      <c r="AN82" s="124">
        <f>IF(OR(J80=0,ISBLANK(AD80)),2,1)</f>
        <v>2</v>
      </c>
      <c r="AS82" s="39"/>
    </row>
    <row r="83" spans="1:45" ht="15" customHeight="1" x14ac:dyDescent="0.3">
      <c r="B83" s="1" t="s">
        <v>59</v>
      </c>
      <c r="C83" s="1"/>
      <c r="D83" s="1"/>
      <c r="E83" s="1"/>
      <c r="F83" s="1"/>
      <c r="H83" s="1"/>
      <c r="T83" s="100"/>
      <c r="V83" s="1" t="s">
        <v>60</v>
      </c>
      <c r="X83" s="1"/>
      <c r="Y83" s="1"/>
      <c r="AS83" s="39"/>
    </row>
    <row r="84" spans="1:45" ht="15" customHeight="1" x14ac:dyDescent="0.3">
      <c r="C84" s="4" t="s">
        <v>17</v>
      </c>
      <c r="G84" s="143" t="s">
        <v>18</v>
      </c>
      <c r="H84" s="143"/>
      <c r="I84" s="143"/>
      <c r="J84" s="143"/>
      <c r="K84" s="4"/>
      <c r="M84" s="39" t="s">
        <v>52</v>
      </c>
      <c r="T84" s="100"/>
      <c r="U84" s="2"/>
      <c r="W84" s="4" t="s">
        <v>17</v>
      </c>
      <c r="X84" s="4"/>
      <c r="Y84" s="4"/>
      <c r="AA84" s="143" t="s">
        <v>18</v>
      </c>
      <c r="AB84" s="143"/>
      <c r="AC84" s="143"/>
      <c r="AD84" s="143"/>
      <c r="AG84" s="39" t="s">
        <v>52</v>
      </c>
      <c r="AS84" s="39"/>
    </row>
    <row r="85" spans="1:45" ht="15" customHeight="1" x14ac:dyDescent="0.3">
      <c r="B85" s="194">
        <f>'Form 2D - Design'!C102</f>
        <v>0</v>
      </c>
      <c r="C85" s="194"/>
      <c r="D85" s="194"/>
      <c r="E85" s="39" t="s">
        <v>45</v>
      </c>
      <c r="G85" s="196">
        <f>'Form 2D - Design'!H102</f>
        <v>0</v>
      </c>
      <c r="H85" s="196"/>
      <c r="I85" s="196"/>
      <c r="J85" s="196"/>
      <c r="K85" s="39" t="s">
        <v>41</v>
      </c>
      <c r="M85" s="196">
        <f>'Form 2D - Design'!M102</f>
        <v>0</v>
      </c>
      <c r="N85" s="196"/>
      <c r="O85" s="196"/>
      <c r="P85" s="196"/>
      <c r="Q85" s="39" t="s">
        <v>39</v>
      </c>
      <c r="T85" s="100"/>
      <c r="U85" s="2"/>
      <c r="V85" s="150"/>
      <c r="W85" s="150"/>
      <c r="X85" s="150"/>
      <c r="Y85" s="39" t="s">
        <v>45</v>
      </c>
      <c r="AA85" s="162"/>
      <c r="AB85" s="162"/>
      <c r="AC85" s="162"/>
      <c r="AD85" s="162"/>
      <c r="AE85" s="39" t="s">
        <v>41</v>
      </c>
      <c r="AG85" s="162"/>
      <c r="AH85" s="162"/>
      <c r="AI85" s="162"/>
      <c r="AJ85" s="162"/>
      <c r="AK85" s="39" t="s">
        <v>39</v>
      </c>
      <c r="AM85" s="124">
        <f>IF(ISBLANK(AA85),0,1)</f>
        <v>0</v>
      </c>
      <c r="AN85" s="124">
        <f>IF(ISBLANK(AG85),0,1)</f>
        <v>0</v>
      </c>
      <c r="AP85" s="124">
        <f t="shared" ref="AP85:AP104" si="0">IF(ISBLANK(V85),1,2)</f>
        <v>1</v>
      </c>
      <c r="AS85" s="39"/>
    </row>
    <row r="86" spans="1:45" ht="15" customHeight="1" x14ac:dyDescent="0.3">
      <c r="B86" s="183">
        <f>'Form 2D - Design'!C103</f>
        <v>0</v>
      </c>
      <c r="C86" s="183"/>
      <c r="D86" s="183"/>
      <c r="E86" s="39" t="s">
        <v>45</v>
      </c>
      <c r="G86" s="193">
        <f>'Form 2D - Design'!H103</f>
        <v>0</v>
      </c>
      <c r="H86" s="193"/>
      <c r="I86" s="193"/>
      <c r="J86" s="193"/>
      <c r="K86" s="39" t="s">
        <v>41</v>
      </c>
      <c r="M86" s="196">
        <f>'Form 2D - Design'!M103</f>
        <v>0</v>
      </c>
      <c r="N86" s="196"/>
      <c r="O86" s="196"/>
      <c r="P86" s="196"/>
      <c r="Q86" s="39" t="s">
        <v>39</v>
      </c>
      <c r="T86" s="100"/>
      <c r="U86" s="2"/>
      <c r="V86" s="154"/>
      <c r="W86" s="154"/>
      <c r="X86" s="154"/>
      <c r="Y86" s="39" t="s">
        <v>45</v>
      </c>
      <c r="AA86" s="160"/>
      <c r="AB86" s="160"/>
      <c r="AC86" s="160"/>
      <c r="AD86" s="160"/>
      <c r="AE86" s="39" t="s">
        <v>41</v>
      </c>
      <c r="AG86" s="160"/>
      <c r="AH86" s="160"/>
      <c r="AI86" s="160"/>
      <c r="AJ86" s="160"/>
      <c r="AK86" s="39" t="s">
        <v>39</v>
      </c>
      <c r="AP86" s="124">
        <f t="shared" si="0"/>
        <v>1</v>
      </c>
      <c r="AS86" s="39"/>
    </row>
    <row r="87" spans="1:45" ht="15" customHeight="1" x14ac:dyDescent="0.3">
      <c r="B87" s="183">
        <f>'Form 2D - Design'!C104</f>
        <v>0</v>
      </c>
      <c r="C87" s="183"/>
      <c r="D87" s="183"/>
      <c r="E87" s="39" t="s">
        <v>45</v>
      </c>
      <c r="G87" s="193">
        <f>'Form 2D - Design'!H104</f>
        <v>0</v>
      </c>
      <c r="H87" s="193"/>
      <c r="I87" s="193"/>
      <c r="J87" s="193"/>
      <c r="K87" s="39" t="s">
        <v>41</v>
      </c>
      <c r="M87" s="196">
        <f>'Form 2D - Design'!M104</f>
        <v>0</v>
      </c>
      <c r="N87" s="196"/>
      <c r="O87" s="196"/>
      <c r="P87" s="196"/>
      <c r="Q87" s="39" t="s">
        <v>39</v>
      </c>
      <c r="T87" s="100"/>
      <c r="U87" s="2"/>
      <c r="V87" s="154"/>
      <c r="W87" s="154"/>
      <c r="X87" s="154"/>
      <c r="Y87" s="39" t="s">
        <v>45</v>
      </c>
      <c r="AA87" s="160"/>
      <c r="AB87" s="160"/>
      <c r="AC87" s="160"/>
      <c r="AD87" s="160"/>
      <c r="AE87" s="39" t="s">
        <v>41</v>
      </c>
      <c r="AG87" s="160"/>
      <c r="AH87" s="160"/>
      <c r="AI87" s="160"/>
      <c r="AJ87" s="160"/>
      <c r="AK87" s="39" t="s">
        <v>39</v>
      </c>
      <c r="AP87" s="124">
        <f t="shared" si="0"/>
        <v>1</v>
      </c>
      <c r="AS87" s="39"/>
    </row>
    <row r="88" spans="1:45" ht="15" customHeight="1" x14ac:dyDescent="0.3">
      <c r="B88" s="183">
        <f>'Form 2D - Design'!C105</f>
        <v>0</v>
      </c>
      <c r="C88" s="183"/>
      <c r="D88" s="183"/>
      <c r="E88" s="39" t="s">
        <v>45</v>
      </c>
      <c r="G88" s="193">
        <f>'Form 2D - Design'!H105</f>
        <v>0</v>
      </c>
      <c r="H88" s="193"/>
      <c r="I88" s="193"/>
      <c r="J88" s="193"/>
      <c r="K88" s="39" t="s">
        <v>41</v>
      </c>
      <c r="M88" s="196">
        <f>'Form 2D - Design'!M105</f>
        <v>0</v>
      </c>
      <c r="N88" s="196"/>
      <c r="O88" s="196"/>
      <c r="P88" s="196"/>
      <c r="Q88" s="39" t="s">
        <v>39</v>
      </c>
      <c r="T88" s="100"/>
      <c r="U88" s="2"/>
      <c r="V88" s="154"/>
      <c r="W88" s="154"/>
      <c r="X88" s="154"/>
      <c r="Y88" s="39" t="s">
        <v>45</v>
      </c>
      <c r="AA88" s="160"/>
      <c r="AB88" s="160"/>
      <c r="AC88" s="160"/>
      <c r="AD88" s="160"/>
      <c r="AE88" s="39" t="s">
        <v>41</v>
      </c>
      <c r="AG88" s="160"/>
      <c r="AH88" s="160"/>
      <c r="AI88" s="160"/>
      <c r="AJ88" s="160"/>
      <c r="AK88" s="39" t="s">
        <v>39</v>
      </c>
      <c r="AP88" s="124">
        <f t="shared" si="0"/>
        <v>1</v>
      </c>
      <c r="AS88" s="39"/>
    </row>
    <row r="89" spans="1:45" ht="15" customHeight="1" x14ac:dyDescent="0.3">
      <c r="B89" s="183">
        <f>'Form 2D - Design'!C106</f>
        <v>0</v>
      </c>
      <c r="C89" s="183"/>
      <c r="D89" s="183"/>
      <c r="E89" s="39" t="s">
        <v>45</v>
      </c>
      <c r="G89" s="193">
        <f>'Form 2D - Design'!H106</f>
        <v>0</v>
      </c>
      <c r="H89" s="193"/>
      <c r="I89" s="193"/>
      <c r="J89" s="193"/>
      <c r="K89" s="39" t="s">
        <v>41</v>
      </c>
      <c r="M89" s="196">
        <f>'Form 2D - Design'!M106</f>
        <v>0</v>
      </c>
      <c r="N89" s="196"/>
      <c r="O89" s="196"/>
      <c r="P89" s="196"/>
      <c r="Q89" s="39" t="s">
        <v>39</v>
      </c>
      <c r="T89" s="100"/>
      <c r="U89" s="2"/>
      <c r="V89" s="154"/>
      <c r="W89" s="154"/>
      <c r="X89" s="154"/>
      <c r="Y89" s="39" t="s">
        <v>45</v>
      </c>
      <c r="AA89" s="160"/>
      <c r="AB89" s="160"/>
      <c r="AC89" s="160"/>
      <c r="AD89" s="160"/>
      <c r="AE89" s="39" t="s">
        <v>41</v>
      </c>
      <c r="AG89" s="160"/>
      <c r="AH89" s="160"/>
      <c r="AI89" s="160"/>
      <c r="AJ89" s="160"/>
      <c r="AK89" s="39" t="s">
        <v>39</v>
      </c>
      <c r="AP89" s="124">
        <f t="shared" si="0"/>
        <v>1</v>
      </c>
      <c r="AS89" s="39"/>
    </row>
    <row r="90" spans="1:45" ht="15" customHeight="1" x14ac:dyDescent="0.3">
      <c r="B90" s="183">
        <f>'Form 2D - Design'!C107</f>
        <v>0</v>
      </c>
      <c r="C90" s="183"/>
      <c r="D90" s="183"/>
      <c r="E90" s="39" t="s">
        <v>45</v>
      </c>
      <c r="G90" s="193">
        <f>'Form 2D - Design'!H107</f>
        <v>0</v>
      </c>
      <c r="H90" s="193"/>
      <c r="I90" s="193"/>
      <c r="J90" s="193"/>
      <c r="K90" s="39" t="s">
        <v>41</v>
      </c>
      <c r="M90" s="196">
        <f>'Form 2D - Design'!M107</f>
        <v>0</v>
      </c>
      <c r="N90" s="196"/>
      <c r="O90" s="196"/>
      <c r="P90" s="196"/>
      <c r="Q90" s="39" t="s">
        <v>39</v>
      </c>
      <c r="T90" s="100"/>
      <c r="U90" s="2"/>
      <c r="V90" s="154"/>
      <c r="W90" s="154"/>
      <c r="X90" s="154"/>
      <c r="Y90" s="39" t="s">
        <v>45</v>
      </c>
      <c r="AA90" s="160"/>
      <c r="AB90" s="160"/>
      <c r="AC90" s="160"/>
      <c r="AD90" s="160"/>
      <c r="AE90" s="39" t="s">
        <v>41</v>
      </c>
      <c r="AG90" s="160"/>
      <c r="AH90" s="160"/>
      <c r="AI90" s="160"/>
      <c r="AJ90" s="160"/>
      <c r="AK90" s="39" t="s">
        <v>39</v>
      </c>
      <c r="AP90" s="124">
        <f t="shared" si="0"/>
        <v>1</v>
      </c>
      <c r="AS90" s="39"/>
    </row>
    <row r="91" spans="1:45" ht="15" customHeight="1" x14ac:dyDescent="0.3">
      <c r="B91" s="183">
        <f>'Form 2D - Design'!C108</f>
        <v>0</v>
      </c>
      <c r="C91" s="183"/>
      <c r="D91" s="183"/>
      <c r="E91" s="39" t="s">
        <v>45</v>
      </c>
      <c r="G91" s="193">
        <f>'Form 2D - Design'!H108</f>
        <v>0</v>
      </c>
      <c r="H91" s="193"/>
      <c r="I91" s="193"/>
      <c r="J91" s="193"/>
      <c r="K91" s="39" t="s">
        <v>41</v>
      </c>
      <c r="M91" s="196">
        <f>'Form 2D - Design'!M108</f>
        <v>0</v>
      </c>
      <c r="N91" s="196"/>
      <c r="O91" s="196"/>
      <c r="P91" s="196"/>
      <c r="Q91" s="39" t="s">
        <v>39</v>
      </c>
      <c r="T91" s="100"/>
      <c r="U91" s="2"/>
      <c r="V91" s="154"/>
      <c r="W91" s="154"/>
      <c r="X91" s="154"/>
      <c r="Y91" s="39" t="s">
        <v>45</v>
      </c>
      <c r="AA91" s="160"/>
      <c r="AB91" s="160"/>
      <c r="AC91" s="160"/>
      <c r="AD91" s="160"/>
      <c r="AE91" s="39" t="s">
        <v>41</v>
      </c>
      <c r="AG91" s="160"/>
      <c r="AH91" s="160"/>
      <c r="AI91" s="160"/>
      <c r="AJ91" s="160"/>
      <c r="AK91" s="39" t="s">
        <v>39</v>
      </c>
      <c r="AP91" s="124">
        <f t="shared" si="0"/>
        <v>1</v>
      </c>
      <c r="AS91" s="39"/>
    </row>
    <row r="92" spans="1:45" ht="15" customHeight="1" x14ac:dyDescent="0.3">
      <c r="B92" s="183">
        <f>'Form 2D - Design'!C109</f>
        <v>0</v>
      </c>
      <c r="C92" s="183"/>
      <c r="D92" s="183"/>
      <c r="E92" s="39" t="s">
        <v>45</v>
      </c>
      <c r="G92" s="193">
        <f>'Form 2D - Design'!H109</f>
        <v>0</v>
      </c>
      <c r="H92" s="193"/>
      <c r="I92" s="193"/>
      <c r="J92" s="193"/>
      <c r="K92" s="39" t="s">
        <v>41</v>
      </c>
      <c r="M92" s="196">
        <f>'Form 2D - Design'!M109</f>
        <v>0</v>
      </c>
      <c r="N92" s="196"/>
      <c r="O92" s="196"/>
      <c r="P92" s="196"/>
      <c r="Q92" s="39" t="s">
        <v>39</v>
      </c>
      <c r="T92" s="100"/>
      <c r="U92" s="2"/>
      <c r="V92" s="154"/>
      <c r="W92" s="154"/>
      <c r="X92" s="154"/>
      <c r="Y92" s="39" t="s">
        <v>45</v>
      </c>
      <c r="AA92" s="160"/>
      <c r="AB92" s="160"/>
      <c r="AC92" s="160"/>
      <c r="AD92" s="160"/>
      <c r="AE92" s="39" t="s">
        <v>41</v>
      </c>
      <c r="AG92" s="160"/>
      <c r="AH92" s="160"/>
      <c r="AI92" s="160"/>
      <c r="AJ92" s="160"/>
      <c r="AK92" s="39" t="s">
        <v>39</v>
      </c>
      <c r="AP92" s="124">
        <f t="shared" si="0"/>
        <v>1</v>
      </c>
      <c r="AS92" s="39"/>
    </row>
    <row r="93" spans="1:45" ht="15" customHeight="1" x14ac:dyDescent="0.3">
      <c r="B93" s="183">
        <f>'Form 2D - Design'!C110</f>
        <v>0</v>
      </c>
      <c r="C93" s="183"/>
      <c r="D93" s="183"/>
      <c r="E93" s="39" t="s">
        <v>45</v>
      </c>
      <c r="G93" s="193">
        <f>'Form 2D - Design'!H110</f>
        <v>0</v>
      </c>
      <c r="H93" s="193"/>
      <c r="I93" s="193"/>
      <c r="J93" s="193"/>
      <c r="K93" s="39" t="s">
        <v>41</v>
      </c>
      <c r="M93" s="196">
        <f>'Form 2D - Design'!M110</f>
        <v>0</v>
      </c>
      <c r="N93" s="196"/>
      <c r="O93" s="196"/>
      <c r="P93" s="196"/>
      <c r="Q93" s="39" t="s">
        <v>39</v>
      </c>
      <c r="T93" s="100"/>
      <c r="U93" s="2"/>
      <c r="V93" s="154"/>
      <c r="W93" s="154"/>
      <c r="X93" s="154"/>
      <c r="Y93" s="39" t="s">
        <v>45</v>
      </c>
      <c r="AA93" s="160"/>
      <c r="AB93" s="160"/>
      <c r="AC93" s="160"/>
      <c r="AD93" s="160"/>
      <c r="AE93" s="39" t="s">
        <v>41</v>
      </c>
      <c r="AG93" s="160"/>
      <c r="AH93" s="160"/>
      <c r="AI93" s="160"/>
      <c r="AJ93" s="160"/>
      <c r="AK93" s="39" t="s">
        <v>39</v>
      </c>
      <c r="AP93" s="124">
        <f t="shared" si="0"/>
        <v>1</v>
      </c>
      <c r="AS93" s="39"/>
    </row>
    <row r="94" spans="1:45" ht="15" customHeight="1" x14ac:dyDescent="0.3">
      <c r="B94" s="183">
        <f>'Form 2D - Design'!C111</f>
        <v>0</v>
      </c>
      <c r="C94" s="183"/>
      <c r="D94" s="183"/>
      <c r="E94" s="39" t="s">
        <v>45</v>
      </c>
      <c r="G94" s="193">
        <f>'Form 2D - Design'!H111</f>
        <v>0</v>
      </c>
      <c r="H94" s="193"/>
      <c r="I94" s="193"/>
      <c r="J94" s="193"/>
      <c r="K94" s="39" t="s">
        <v>41</v>
      </c>
      <c r="M94" s="196">
        <f>'Form 2D - Design'!M111</f>
        <v>0</v>
      </c>
      <c r="N94" s="196"/>
      <c r="O94" s="196"/>
      <c r="P94" s="196"/>
      <c r="Q94" s="39" t="s">
        <v>39</v>
      </c>
      <c r="T94" s="100"/>
      <c r="U94" s="2"/>
      <c r="V94" s="154"/>
      <c r="W94" s="154"/>
      <c r="X94" s="154"/>
      <c r="Y94" s="39" t="s">
        <v>45</v>
      </c>
      <c r="AA94" s="160"/>
      <c r="AB94" s="160"/>
      <c r="AC94" s="160"/>
      <c r="AD94" s="160"/>
      <c r="AE94" s="39" t="s">
        <v>41</v>
      </c>
      <c r="AG94" s="160"/>
      <c r="AH94" s="160"/>
      <c r="AI94" s="160"/>
      <c r="AJ94" s="160"/>
      <c r="AK94" s="39" t="s">
        <v>39</v>
      </c>
      <c r="AP94" s="124">
        <f t="shared" si="0"/>
        <v>1</v>
      </c>
      <c r="AS94" s="39"/>
    </row>
    <row r="95" spans="1:45" ht="15" customHeight="1" x14ac:dyDescent="0.3">
      <c r="B95" s="183">
        <f>'Form 2D - Design'!S102</f>
        <v>0</v>
      </c>
      <c r="C95" s="183"/>
      <c r="D95" s="183"/>
      <c r="E95" s="39" t="s">
        <v>45</v>
      </c>
      <c r="G95" s="193">
        <f>'Form 2D - Design'!X102</f>
        <v>0</v>
      </c>
      <c r="H95" s="193"/>
      <c r="I95" s="193"/>
      <c r="J95" s="193"/>
      <c r="K95" s="39" t="s">
        <v>41</v>
      </c>
      <c r="M95" s="196">
        <f>'Form 2D - Design'!AC102</f>
        <v>0</v>
      </c>
      <c r="N95" s="196"/>
      <c r="O95" s="196"/>
      <c r="P95" s="196"/>
      <c r="Q95" s="39" t="s">
        <v>39</v>
      </c>
      <c r="T95" s="100"/>
      <c r="U95" s="2"/>
      <c r="V95" s="154"/>
      <c r="W95" s="154"/>
      <c r="X95" s="154"/>
      <c r="Y95" s="39" t="s">
        <v>45</v>
      </c>
      <c r="AA95" s="160"/>
      <c r="AB95" s="160"/>
      <c r="AC95" s="160"/>
      <c r="AD95" s="160"/>
      <c r="AE95" s="39" t="s">
        <v>41</v>
      </c>
      <c r="AG95" s="160"/>
      <c r="AH95" s="160"/>
      <c r="AI95" s="160"/>
      <c r="AJ95" s="160"/>
      <c r="AK95" s="39" t="s">
        <v>39</v>
      </c>
      <c r="AP95" s="124">
        <f t="shared" si="0"/>
        <v>1</v>
      </c>
      <c r="AS95" s="39"/>
    </row>
    <row r="96" spans="1:45" ht="15" customHeight="1" x14ac:dyDescent="0.3">
      <c r="B96" s="183">
        <f>'Form 2D - Design'!S103</f>
        <v>0</v>
      </c>
      <c r="C96" s="183"/>
      <c r="D96" s="183"/>
      <c r="E96" s="39" t="s">
        <v>45</v>
      </c>
      <c r="G96" s="193">
        <f>'Form 2D - Design'!X103</f>
        <v>0</v>
      </c>
      <c r="H96" s="193"/>
      <c r="I96" s="193"/>
      <c r="J96" s="193"/>
      <c r="K96" s="39" t="s">
        <v>41</v>
      </c>
      <c r="M96" s="196">
        <f>'Form 2D - Design'!AC103</f>
        <v>0</v>
      </c>
      <c r="N96" s="196"/>
      <c r="O96" s="196"/>
      <c r="P96" s="196"/>
      <c r="Q96" s="39" t="s">
        <v>39</v>
      </c>
      <c r="T96" s="100"/>
      <c r="U96" s="2"/>
      <c r="V96" s="154"/>
      <c r="W96" s="154"/>
      <c r="X96" s="154"/>
      <c r="Y96" s="39" t="s">
        <v>45</v>
      </c>
      <c r="AA96" s="160"/>
      <c r="AB96" s="160"/>
      <c r="AC96" s="160"/>
      <c r="AD96" s="160"/>
      <c r="AE96" s="39" t="s">
        <v>41</v>
      </c>
      <c r="AG96" s="160"/>
      <c r="AH96" s="160"/>
      <c r="AI96" s="160"/>
      <c r="AJ96" s="160"/>
      <c r="AK96" s="39" t="s">
        <v>39</v>
      </c>
      <c r="AP96" s="124">
        <f t="shared" si="0"/>
        <v>1</v>
      </c>
      <c r="AS96" s="39"/>
    </row>
    <row r="97" spans="1:45" ht="15" customHeight="1" x14ac:dyDescent="0.3">
      <c r="B97" s="183">
        <f>'Form 2D - Design'!S104</f>
        <v>0</v>
      </c>
      <c r="C97" s="183"/>
      <c r="D97" s="183"/>
      <c r="E97" s="39" t="s">
        <v>45</v>
      </c>
      <c r="G97" s="193">
        <f>'Form 2D - Design'!X104</f>
        <v>0</v>
      </c>
      <c r="H97" s="193"/>
      <c r="I97" s="193"/>
      <c r="J97" s="193"/>
      <c r="K97" s="39" t="s">
        <v>41</v>
      </c>
      <c r="M97" s="196">
        <f>'Form 2D - Design'!AC104</f>
        <v>0</v>
      </c>
      <c r="N97" s="196"/>
      <c r="O97" s="196"/>
      <c r="P97" s="196"/>
      <c r="Q97" s="39" t="s">
        <v>39</v>
      </c>
      <c r="T97" s="100"/>
      <c r="U97" s="2"/>
      <c r="V97" s="154"/>
      <c r="W97" s="154"/>
      <c r="X97" s="154"/>
      <c r="Y97" s="39" t="s">
        <v>45</v>
      </c>
      <c r="AA97" s="160"/>
      <c r="AB97" s="160"/>
      <c r="AC97" s="160"/>
      <c r="AD97" s="160"/>
      <c r="AE97" s="39" t="s">
        <v>41</v>
      </c>
      <c r="AG97" s="160"/>
      <c r="AH97" s="160"/>
      <c r="AI97" s="160"/>
      <c r="AJ97" s="160"/>
      <c r="AK97" s="39" t="s">
        <v>39</v>
      </c>
      <c r="AP97" s="124">
        <f t="shared" si="0"/>
        <v>1</v>
      </c>
      <c r="AS97" s="39"/>
    </row>
    <row r="98" spans="1:45" ht="15" customHeight="1" x14ac:dyDescent="0.3">
      <c r="B98" s="183">
        <f>'Form 2D - Design'!S105</f>
        <v>0</v>
      </c>
      <c r="C98" s="183"/>
      <c r="D98" s="183"/>
      <c r="E98" s="39" t="s">
        <v>45</v>
      </c>
      <c r="G98" s="193">
        <f>'Form 2D - Design'!X105</f>
        <v>0</v>
      </c>
      <c r="H98" s="193"/>
      <c r="I98" s="193"/>
      <c r="J98" s="193"/>
      <c r="K98" s="39" t="s">
        <v>41</v>
      </c>
      <c r="M98" s="196">
        <f>'Form 2D - Design'!AC105</f>
        <v>0</v>
      </c>
      <c r="N98" s="196"/>
      <c r="O98" s="196"/>
      <c r="P98" s="196"/>
      <c r="Q98" s="39" t="s">
        <v>39</v>
      </c>
      <c r="T98" s="100"/>
      <c r="U98" s="2"/>
      <c r="V98" s="154"/>
      <c r="W98" s="154"/>
      <c r="X98" s="154"/>
      <c r="Y98" s="39" t="s">
        <v>45</v>
      </c>
      <c r="AA98" s="160"/>
      <c r="AB98" s="160"/>
      <c r="AC98" s="160"/>
      <c r="AD98" s="160"/>
      <c r="AE98" s="39" t="s">
        <v>41</v>
      </c>
      <c r="AG98" s="160"/>
      <c r="AH98" s="160"/>
      <c r="AI98" s="160"/>
      <c r="AJ98" s="160"/>
      <c r="AK98" s="39" t="s">
        <v>39</v>
      </c>
      <c r="AP98" s="124">
        <f t="shared" si="0"/>
        <v>1</v>
      </c>
      <c r="AS98" s="39"/>
    </row>
    <row r="99" spans="1:45" ht="15" customHeight="1" x14ac:dyDescent="0.3">
      <c r="B99" s="183">
        <f>'Form 2D - Design'!S106</f>
        <v>0</v>
      </c>
      <c r="C99" s="183"/>
      <c r="D99" s="183"/>
      <c r="E99" s="39" t="s">
        <v>45</v>
      </c>
      <c r="G99" s="193">
        <f>'Form 2D - Design'!X106</f>
        <v>0</v>
      </c>
      <c r="H99" s="193"/>
      <c r="I99" s="193"/>
      <c r="J99" s="193"/>
      <c r="K99" s="39" t="s">
        <v>41</v>
      </c>
      <c r="M99" s="196">
        <f>'Form 2D - Design'!AC106</f>
        <v>0</v>
      </c>
      <c r="N99" s="196"/>
      <c r="O99" s="196"/>
      <c r="P99" s="196"/>
      <c r="Q99" s="39" t="s">
        <v>39</v>
      </c>
      <c r="T99" s="100"/>
      <c r="U99" s="2"/>
      <c r="V99" s="154"/>
      <c r="W99" s="154"/>
      <c r="X99" s="154"/>
      <c r="Y99" s="39" t="s">
        <v>45</v>
      </c>
      <c r="AA99" s="160"/>
      <c r="AB99" s="160"/>
      <c r="AC99" s="160"/>
      <c r="AD99" s="160"/>
      <c r="AE99" s="39" t="s">
        <v>41</v>
      </c>
      <c r="AG99" s="160"/>
      <c r="AH99" s="160"/>
      <c r="AI99" s="160"/>
      <c r="AJ99" s="160"/>
      <c r="AK99" s="39" t="s">
        <v>39</v>
      </c>
      <c r="AP99" s="124">
        <f t="shared" si="0"/>
        <v>1</v>
      </c>
      <c r="AS99" s="39"/>
    </row>
    <row r="100" spans="1:45" ht="15" customHeight="1" x14ac:dyDescent="0.3">
      <c r="B100" s="183">
        <f>'Form 2D - Design'!S107</f>
        <v>0</v>
      </c>
      <c r="C100" s="183"/>
      <c r="D100" s="183"/>
      <c r="E100" s="39" t="s">
        <v>45</v>
      </c>
      <c r="G100" s="193">
        <f>'Form 2D - Design'!X107</f>
        <v>0</v>
      </c>
      <c r="H100" s="193"/>
      <c r="I100" s="193"/>
      <c r="J100" s="193"/>
      <c r="K100" s="39" t="s">
        <v>41</v>
      </c>
      <c r="M100" s="196">
        <f>'Form 2D - Design'!AC107</f>
        <v>0</v>
      </c>
      <c r="N100" s="196"/>
      <c r="O100" s="196"/>
      <c r="P100" s="196"/>
      <c r="Q100" s="39" t="s">
        <v>39</v>
      </c>
      <c r="T100" s="100"/>
      <c r="U100" s="2"/>
      <c r="V100" s="154"/>
      <c r="W100" s="154"/>
      <c r="X100" s="154"/>
      <c r="Y100" s="39" t="s">
        <v>45</v>
      </c>
      <c r="AA100" s="160"/>
      <c r="AB100" s="160"/>
      <c r="AC100" s="160"/>
      <c r="AD100" s="160"/>
      <c r="AE100" s="39" t="s">
        <v>41</v>
      </c>
      <c r="AG100" s="160"/>
      <c r="AH100" s="160"/>
      <c r="AI100" s="160"/>
      <c r="AJ100" s="160"/>
      <c r="AK100" s="39" t="s">
        <v>39</v>
      </c>
      <c r="AP100" s="124">
        <f t="shared" si="0"/>
        <v>1</v>
      </c>
      <c r="AS100" s="39"/>
    </row>
    <row r="101" spans="1:45" ht="15" customHeight="1" x14ac:dyDescent="0.3">
      <c r="B101" s="183">
        <f>'Form 2D - Design'!S108</f>
        <v>0</v>
      </c>
      <c r="C101" s="183"/>
      <c r="D101" s="183"/>
      <c r="E101" s="39" t="s">
        <v>45</v>
      </c>
      <c r="G101" s="193">
        <f>'Form 2D - Design'!X108</f>
        <v>0</v>
      </c>
      <c r="H101" s="193"/>
      <c r="I101" s="193"/>
      <c r="J101" s="193"/>
      <c r="K101" s="39" t="s">
        <v>41</v>
      </c>
      <c r="M101" s="196">
        <f>'Form 2D - Design'!AC108</f>
        <v>0</v>
      </c>
      <c r="N101" s="196"/>
      <c r="O101" s="196"/>
      <c r="P101" s="196"/>
      <c r="Q101" s="39" t="s">
        <v>39</v>
      </c>
      <c r="T101" s="100"/>
      <c r="U101" s="2"/>
      <c r="V101" s="154"/>
      <c r="W101" s="154"/>
      <c r="X101" s="154"/>
      <c r="Y101" s="39" t="s">
        <v>45</v>
      </c>
      <c r="AA101" s="160"/>
      <c r="AB101" s="160"/>
      <c r="AC101" s="160"/>
      <c r="AD101" s="160"/>
      <c r="AE101" s="39" t="s">
        <v>41</v>
      </c>
      <c r="AG101" s="160"/>
      <c r="AH101" s="160"/>
      <c r="AI101" s="160"/>
      <c r="AJ101" s="160"/>
      <c r="AK101" s="39" t="s">
        <v>39</v>
      </c>
      <c r="AP101" s="124">
        <f t="shared" si="0"/>
        <v>1</v>
      </c>
      <c r="AS101" s="39"/>
    </row>
    <row r="102" spans="1:45" ht="15" customHeight="1" x14ac:dyDescent="0.3">
      <c r="B102" s="183">
        <f>'Form 2D - Design'!S109</f>
        <v>0</v>
      </c>
      <c r="C102" s="183"/>
      <c r="D102" s="183"/>
      <c r="E102" s="39" t="s">
        <v>45</v>
      </c>
      <c r="G102" s="193">
        <f>'Form 2D - Design'!X109</f>
        <v>0</v>
      </c>
      <c r="H102" s="193"/>
      <c r="I102" s="193"/>
      <c r="J102" s="193"/>
      <c r="K102" s="39" t="s">
        <v>41</v>
      </c>
      <c r="M102" s="196">
        <f>'Form 2D - Design'!AC109</f>
        <v>0</v>
      </c>
      <c r="N102" s="196"/>
      <c r="O102" s="196"/>
      <c r="P102" s="196"/>
      <c r="Q102" s="39" t="s">
        <v>39</v>
      </c>
      <c r="T102" s="100"/>
      <c r="U102" s="2"/>
      <c r="V102" s="154"/>
      <c r="W102" s="154"/>
      <c r="X102" s="154"/>
      <c r="Y102" s="39" t="s">
        <v>45</v>
      </c>
      <c r="AA102" s="160"/>
      <c r="AB102" s="160"/>
      <c r="AC102" s="160"/>
      <c r="AD102" s="160"/>
      <c r="AE102" s="39" t="s">
        <v>41</v>
      </c>
      <c r="AG102" s="160"/>
      <c r="AH102" s="160"/>
      <c r="AI102" s="160"/>
      <c r="AJ102" s="160"/>
      <c r="AK102" s="39" t="s">
        <v>39</v>
      </c>
      <c r="AP102" s="124">
        <f t="shared" si="0"/>
        <v>1</v>
      </c>
      <c r="AS102" s="39"/>
    </row>
    <row r="103" spans="1:45" ht="15" customHeight="1" x14ac:dyDescent="0.3">
      <c r="B103" s="183">
        <f>'Form 2D - Design'!S110</f>
        <v>0</v>
      </c>
      <c r="C103" s="183"/>
      <c r="D103" s="183"/>
      <c r="E103" s="39" t="s">
        <v>45</v>
      </c>
      <c r="G103" s="193">
        <f>'Form 2D - Design'!X110</f>
        <v>0</v>
      </c>
      <c r="H103" s="193"/>
      <c r="I103" s="193"/>
      <c r="J103" s="193"/>
      <c r="K103" s="39" t="s">
        <v>41</v>
      </c>
      <c r="M103" s="196">
        <f>'Form 2D - Design'!AC110</f>
        <v>0</v>
      </c>
      <c r="N103" s="196"/>
      <c r="O103" s="196"/>
      <c r="P103" s="196"/>
      <c r="Q103" s="39" t="s">
        <v>39</v>
      </c>
      <c r="T103" s="100"/>
      <c r="U103" s="2"/>
      <c r="V103" s="154"/>
      <c r="W103" s="154"/>
      <c r="X103" s="154"/>
      <c r="Y103" s="39" t="s">
        <v>45</v>
      </c>
      <c r="AA103" s="160"/>
      <c r="AB103" s="160"/>
      <c r="AC103" s="160"/>
      <c r="AD103" s="160"/>
      <c r="AE103" s="39" t="s">
        <v>41</v>
      </c>
      <c r="AG103" s="160"/>
      <c r="AH103" s="160"/>
      <c r="AI103" s="160"/>
      <c r="AJ103" s="160"/>
      <c r="AK103" s="39" t="s">
        <v>39</v>
      </c>
      <c r="AP103" s="124">
        <f t="shared" si="0"/>
        <v>1</v>
      </c>
      <c r="AS103" s="39"/>
    </row>
    <row r="104" spans="1:45" ht="15" customHeight="1" x14ac:dyDescent="0.3">
      <c r="B104" s="183">
        <f>'Form 2D - Design'!S111</f>
        <v>0</v>
      </c>
      <c r="C104" s="183"/>
      <c r="D104" s="183"/>
      <c r="E104" s="39" t="s">
        <v>45</v>
      </c>
      <c r="G104" s="193">
        <f>'Form 2D - Design'!X111</f>
        <v>0</v>
      </c>
      <c r="H104" s="193"/>
      <c r="I104" s="193"/>
      <c r="J104" s="193"/>
      <c r="K104" s="39" t="s">
        <v>41</v>
      </c>
      <c r="M104" s="196">
        <f>'Form 2D - Design'!AC111</f>
        <v>0</v>
      </c>
      <c r="N104" s="196"/>
      <c r="O104" s="196"/>
      <c r="P104" s="196"/>
      <c r="Q104" s="39" t="s">
        <v>39</v>
      </c>
      <c r="T104" s="100"/>
      <c r="U104" s="2"/>
      <c r="V104" s="154"/>
      <c r="W104" s="154"/>
      <c r="X104" s="154"/>
      <c r="Y104" s="39" t="s">
        <v>45</v>
      </c>
      <c r="AA104" s="160"/>
      <c r="AB104" s="160"/>
      <c r="AC104" s="160"/>
      <c r="AD104" s="160"/>
      <c r="AE104" s="39" t="s">
        <v>41</v>
      </c>
      <c r="AG104" s="160"/>
      <c r="AH104" s="160"/>
      <c r="AI104" s="160"/>
      <c r="AJ104" s="160"/>
      <c r="AK104" s="39" t="s">
        <v>39</v>
      </c>
      <c r="AP104" s="124">
        <f t="shared" si="0"/>
        <v>1</v>
      </c>
      <c r="AS104" s="39"/>
    </row>
    <row r="105" spans="1:45" ht="15" customHeight="1" x14ac:dyDescent="0.3">
      <c r="H105" s="41"/>
      <c r="J105" s="45"/>
      <c r="K105" s="45"/>
      <c r="L105" s="45"/>
      <c r="N105" s="48"/>
      <c r="O105" s="48"/>
      <c r="P105" s="48"/>
      <c r="Q105" s="48"/>
      <c r="W105" s="41"/>
      <c r="X105" s="41"/>
      <c r="Y105" s="41"/>
      <c r="AA105" s="45"/>
      <c r="AB105" s="45"/>
      <c r="AC105" s="45"/>
      <c r="AE105" s="48"/>
      <c r="AF105" s="48"/>
      <c r="AG105" s="48"/>
      <c r="AH105" s="48"/>
      <c r="AS105" s="39"/>
    </row>
    <row r="106" spans="1:45" ht="15" customHeight="1" x14ac:dyDescent="0.3">
      <c r="H106" s="41"/>
      <c r="J106" s="45"/>
      <c r="K106" s="45"/>
      <c r="L106" s="45"/>
      <c r="N106" s="48"/>
      <c r="O106" s="48"/>
      <c r="P106" s="48"/>
      <c r="Q106" s="48"/>
      <c r="W106" s="41"/>
      <c r="X106" s="41"/>
      <c r="Y106" s="41"/>
      <c r="AA106" s="45"/>
      <c r="AB106" s="45"/>
      <c r="AC106" s="45"/>
      <c r="AE106" s="48"/>
      <c r="AF106" s="48"/>
      <c r="AG106" s="48"/>
      <c r="AH106" s="48"/>
      <c r="AS106" s="39"/>
    </row>
    <row r="107" spans="1:45" ht="15" customHeight="1" x14ac:dyDescent="0.3">
      <c r="AK107" s="41"/>
      <c r="AS107" s="39"/>
    </row>
    <row r="108" spans="1:45" ht="15" customHeight="1" x14ac:dyDescent="0.3">
      <c r="B108" s="142">
        <f>Tables!$C$13</f>
        <v>45383</v>
      </c>
      <c r="C108" s="142"/>
      <c r="D108" s="142"/>
      <c r="E108" s="142"/>
      <c r="F108" s="142"/>
      <c r="G108" s="142"/>
      <c r="H108" s="142"/>
      <c r="R108" s="143" t="s">
        <v>349</v>
      </c>
      <c r="S108" s="143"/>
      <c r="T108" s="143"/>
      <c r="U108" s="143"/>
      <c r="AK108" s="41"/>
      <c r="AS108" s="39"/>
    </row>
    <row r="109" spans="1:45" ht="15" customHeight="1" x14ac:dyDescent="0.3">
      <c r="C109" s="2" t="s">
        <v>1</v>
      </c>
      <c r="D109" s="145">
        <f>IF(ISBLANK($E$15),"",$E$15)</f>
        <v>0</v>
      </c>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46"/>
      <c r="AB109" s="46"/>
      <c r="AC109" s="46"/>
      <c r="AF109" s="2" t="s">
        <v>21</v>
      </c>
      <c r="AG109" s="146">
        <f>$AF$15</f>
        <v>0</v>
      </c>
      <c r="AH109" s="146"/>
      <c r="AI109" s="146"/>
      <c r="AJ109" s="146"/>
      <c r="AK109" s="146"/>
      <c r="AS109" s="39"/>
    </row>
    <row r="110" spans="1:45" ht="15" customHeight="1" x14ac:dyDescent="0.3">
      <c r="H110" s="47"/>
      <c r="I110" s="47"/>
      <c r="J110" s="2"/>
      <c r="K110" s="2"/>
      <c r="L110" s="2"/>
      <c r="M110" s="47"/>
      <c r="N110" s="46"/>
      <c r="O110" s="46"/>
      <c r="P110" s="46"/>
      <c r="Q110" s="46"/>
      <c r="R110" s="46"/>
      <c r="S110" s="46"/>
      <c r="T110" s="46"/>
      <c r="U110" s="46"/>
      <c r="V110" s="46"/>
      <c r="W110" s="46"/>
      <c r="X110" s="46"/>
      <c r="Y110" s="46"/>
      <c r="Z110" s="46"/>
      <c r="AA110" s="46"/>
      <c r="AB110" s="46"/>
      <c r="AC110" s="46"/>
      <c r="AF110" s="2" t="s">
        <v>35</v>
      </c>
      <c r="AG110" s="199">
        <f>IF(ISBLANK($AF$16),"",$AF$16)</f>
        <v>0</v>
      </c>
      <c r="AH110" s="199"/>
      <c r="AI110" s="199"/>
      <c r="AJ110" s="199"/>
      <c r="AK110" s="199"/>
      <c r="AS110" s="39"/>
    </row>
    <row r="111" spans="1:45" ht="4.95" customHeight="1" x14ac:dyDescent="0.3">
      <c r="H111" s="41"/>
      <c r="J111" s="45"/>
      <c r="K111" s="45"/>
      <c r="L111" s="45"/>
      <c r="N111" s="48"/>
      <c r="O111" s="48"/>
      <c r="P111" s="48"/>
      <c r="Q111" s="48"/>
      <c r="W111" s="41"/>
      <c r="X111" s="41"/>
      <c r="Y111" s="41"/>
      <c r="AA111" s="45"/>
      <c r="AB111" s="45"/>
      <c r="AC111" s="45"/>
      <c r="AE111" s="48"/>
      <c r="AF111" s="48"/>
      <c r="AG111" s="48"/>
      <c r="AH111" s="48"/>
      <c r="AS111" s="39"/>
    </row>
    <row r="112" spans="1:45" ht="15" customHeight="1" x14ac:dyDescent="0.3">
      <c r="A112" s="182" t="s">
        <v>250</v>
      </c>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26"/>
      <c r="AN112" s="126"/>
      <c r="AS112" s="39"/>
    </row>
    <row r="113" spans="1:56" ht="15" customHeight="1" x14ac:dyDescent="0.3">
      <c r="A113" s="20"/>
      <c r="B113" s="20"/>
      <c r="C113" s="20"/>
      <c r="D113" s="20"/>
      <c r="E113" s="20"/>
      <c r="F113" s="20"/>
      <c r="G113" s="20"/>
      <c r="H113" s="20"/>
      <c r="I113" s="20"/>
      <c r="J113" s="20"/>
      <c r="K113" s="20"/>
      <c r="L113" s="20"/>
      <c r="M113" s="20"/>
      <c r="N113" s="143" t="s">
        <v>265</v>
      </c>
      <c r="O113" s="143"/>
      <c r="P113" s="143"/>
      <c r="Q113" s="143"/>
      <c r="R113" s="143"/>
      <c r="S113" s="143"/>
      <c r="T113" s="143"/>
      <c r="U113" s="143"/>
      <c r="V113" s="143"/>
      <c r="W113" s="20"/>
      <c r="X113" s="20"/>
      <c r="Y113" s="20"/>
      <c r="Z113" s="20"/>
      <c r="AA113" s="20"/>
      <c r="AB113" s="20"/>
      <c r="AC113" s="20"/>
      <c r="AD113" s="20"/>
      <c r="AE113" s="20"/>
      <c r="AF113" s="20"/>
      <c r="AG113" s="20"/>
      <c r="AH113" s="20"/>
      <c r="AI113" s="20"/>
      <c r="AJ113" s="20"/>
      <c r="AK113" s="20"/>
      <c r="AL113" s="20"/>
      <c r="AM113" s="126"/>
      <c r="AN113" s="126"/>
      <c r="AS113" s="39"/>
    </row>
    <row r="114" spans="1:56" ht="30" customHeight="1" x14ac:dyDescent="0.3">
      <c r="B114" s="1" t="s">
        <v>59</v>
      </c>
      <c r="I114" s="189" t="s">
        <v>136</v>
      </c>
      <c r="J114" s="189"/>
      <c r="K114" s="189"/>
      <c r="L114" s="189"/>
      <c r="M114" s="1"/>
      <c r="N114" s="189" t="s">
        <v>256</v>
      </c>
      <c r="O114" s="189"/>
      <c r="P114" s="189"/>
      <c r="Q114" s="189"/>
      <c r="S114" s="189" t="s">
        <v>257</v>
      </c>
      <c r="T114" s="189"/>
      <c r="U114" s="189"/>
      <c r="V114" s="189"/>
      <c r="X114" s="189" t="s">
        <v>445</v>
      </c>
      <c r="Y114" s="189"/>
      <c r="Z114" s="189"/>
      <c r="AA114" s="189"/>
      <c r="AC114" s="189" t="s">
        <v>361</v>
      </c>
      <c r="AD114" s="189"/>
      <c r="AE114" s="189"/>
      <c r="AF114" s="189"/>
      <c r="AH114" s="189" t="s">
        <v>137</v>
      </c>
      <c r="AI114" s="189"/>
      <c r="AJ114" s="189"/>
      <c r="AK114" s="189"/>
      <c r="AW114" s="36"/>
      <c r="AX114" s="36"/>
      <c r="AY114" s="36"/>
      <c r="AZ114" s="36"/>
      <c r="BA114" s="36"/>
      <c r="BB114" s="36"/>
      <c r="BC114" s="36"/>
      <c r="BD114" s="36"/>
    </row>
    <row r="115" spans="1:56" ht="15" customHeight="1" x14ac:dyDescent="0.3">
      <c r="C115" s="158">
        <f>Tables!$C$16</f>
        <v>4.21</v>
      </c>
      <c r="D115" s="158"/>
      <c r="G115" s="2" t="str">
        <f>Tables!$A$16</f>
        <v>(2-yr)</v>
      </c>
      <c r="I115" s="166">
        <f>'Form 2D - Design'!M121</f>
        <v>0</v>
      </c>
      <c r="J115" s="166"/>
      <c r="K115" s="166"/>
      <c r="L115" s="166"/>
      <c r="N115" s="190">
        <f>'Form 2D - Design'!Q121</f>
        <v>0</v>
      </c>
      <c r="O115" s="190"/>
      <c r="P115" s="190"/>
      <c r="Q115" s="190"/>
      <c r="S115" s="190">
        <f>'Form 2D - Design'!U121</f>
        <v>0</v>
      </c>
      <c r="T115" s="190"/>
      <c r="U115" s="190"/>
      <c r="V115" s="190"/>
      <c r="X115" s="190">
        <f>'Form 2D - Design'!Y121</f>
        <v>0</v>
      </c>
      <c r="Y115" s="190"/>
      <c r="Z115" s="190"/>
      <c r="AA115" s="190"/>
      <c r="AC115" s="190">
        <f>'Form 2D - Design'!AC121</f>
        <v>0</v>
      </c>
      <c r="AD115" s="190"/>
      <c r="AE115" s="190"/>
      <c r="AF115" s="190"/>
      <c r="AH115" s="190">
        <f>'Form 2D - Design'!AG121</f>
        <v>0</v>
      </c>
      <c r="AI115" s="190"/>
      <c r="AJ115" s="190"/>
      <c r="AK115" s="190"/>
      <c r="AV115"/>
      <c r="AW115" s="36"/>
      <c r="AX115" s="36"/>
      <c r="AY115" s="36"/>
      <c r="AZ115" s="36"/>
      <c r="BA115" s="36"/>
      <c r="BB115" s="36"/>
      <c r="BC115" s="36"/>
      <c r="BD115" s="36"/>
    </row>
    <row r="116" spans="1:56" ht="15" customHeight="1" x14ac:dyDescent="0.3">
      <c r="C116" s="158">
        <f>Tables!$C$17</f>
        <v>5.24</v>
      </c>
      <c r="D116" s="158"/>
      <c r="G116" s="2" t="str">
        <f>Tables!$A$17</f>
        <v>(5-yr)</v>
      </c>
      <c r="I116" s="166">
        <f>'Form 2D - Design'!M122</f>
        <v>0</v>
      </c>
      <c r="J116" s="166"/>
      <c r="K116" s="166"/>
      <c r="L116" s="166"/>
      <c r="N116" s="188">
        <f>'Form 2D - Design'!Q122</f>
        <v>0</v>
      </c>
      <c r="O116" s="188"/>
      <c r="P116" s="188"/>
      <c r="Q116" s="188"/>
      <c r="S116" s="188">
        <f>'Form 2D - Design'!U122</f>
        <v>0</v>
      </c>
      <c r="T116" s="188"/>
      <c r="U116" s="188"/>
      <c r="V116" s="188"/>
      <c r="X116" s="188">
        <f>'Form 2D - Design'!Y122</f>
        <v>0</v>
      </c>
      <c r="Y116" s="188"/>
      <c r="Z116" s="188"/>
      <c r="AA116" s="188"/>
      <c r="AC116" s="188">
        <f>'Form 2D - Design'!AC122</f>
        <v>0</v>
      </c>
      <c r="AD116" s="188"/>
      <c r="AE116" s="188"/>
      <c r="AF116" s="188"/>
      <c r="AH116" s="188">
        <f>'Form 2D - Design'!AG122</f>
        <v>0</v>
      </c>
      <c r="AI116" s="188"/>
      <c r="AJ116" s="188"/>
      <c r="AK116" s="188"/>
      <c r="AV116" s="36"/>
      <c r="AW116" s="36"/>
      <c r="AX116" s="36"/>
      <c r="AY116" s="36"/>
      <c r="AZ116" s="36"/>
      <c r="BA116" s="36"/>
      <c r="BB116" s="36"/>
      <c r="BC116" s="36"/>
      <c r="BD116" s="36"/>
    </row>
    <row r="117" spans="1:56" ht="15" customHeight="1" x14ac:dyDescent="0.3">
      <c r="C117" s="158">
        <f>Tables!$C$18</f>
        <v>6.17</v>
      </c>
      <c r="D117" s="158"/>
      <c r="G117" s="2" t="str">
        <f>Tables!$A$18</f>
        <v>(10-yr)</v>
      </c>
      <c r="I117" s="166">
        <f>'Form 2D - Design'!M123</f>
        <v>0</v>
      </c>
      <c r="J117" s="166"/>
      <c r="K117" s="166"/>
      <c r="L117" s="166"/>
      <c r="N117" s="188">
        <f>'Form 2D - Design'!Q123</f>
        <v>0</v>
      </c>
      <c r="O117" s="188"/>
      <c r="P117" s="188"/>
      <c r="Q117" s="188"/>
      <c r="S117" s="188">
        <f>'Form 2D - Design'!U123</f>
        <v>0</v>
      </c>
      <c r="T117" s="188"/>
      <c r="U117" s="188"/>
      <c r="V117" s="188"/>
      <c r="X117" s="188">
        <f>'Form 2D - Design'!Y123</f>
        <v>0</v>
      </c>
      <c r="Y117" s="188"/>
      <c r="Z117" s="188"/>
      <c r="AA117" s="188"/>
      <c r="AC117" s="188">
        <f>'Form 2D - Design'!AC123</f>
        <v>0</v>
      </c>
      <c r="AD117" s="188"/>
      <c r="AE117" s="188"/>
      <c r="AF117" s="188"/>
      <c r="AH117" s="188">
        <f>'Form 2D - Design'!AG123</f>
        <v>0</v>
      </c>
      <c r="AI117" s="188"/>
      <c r="AJ117" s="188"/>
      <c r="AK117" s="188"/>
      <c r="AO117" s="86" t="s">
        <v>453</v>
      </c>
      <c r="AP117" s="130">
        <f>Tables!C26</f>
        <v>6</v>
      </c>
      <c r="AS117" s="35"/>
      <c r="AV117" s="36"/>
      <c r="AW117" s="36"/>
      <c r="AX117" s="36"/>
      <c r="AY117" s="36"/>
      <c r="AZ117" s="36"/>
      <c r="BA117" s="36"/>
      <c r="BB117" s="36"/>
      <c r="BC117" s="36"/>
      <c r="BD117" s="36"/>
    </row>
    <row r="118" spans="1:56" ht="15" customHeight="1" x14ac:dyDescent="0.3">
      <c r="C118" s="158">
        <f>Tables!$C$19</f>
        <v>7.55</v>
      </c>
      <c r="D118" s="158"/>
      <c r="G118" s="2" t="str">
        <f>Tables!$A$19</f>
        <v>(25-yr)</v>
      </c>
      <c r="I118" s="166">
        <f>'Form 2D - Design'!M124</f>
        <v>0</v>
      </c>
      <c r="J118" s="166"/>
      <c r="K118" s="166"/>
      <c r="L118" s="166"/>
      <c r="N118" s="188">
        <f>'Form 2D - Design'!Q124</f>
        <v>0</v>
      </c>
      <c r="O118" s="188"/>
      <c r="P118" s="188"/>
      <c r="Q118" s="188"/>
      <c r="S118" s="188">
        <f>'Form 2D - Design'!U124</f>
        <v>0</v>
      </c>
      <c r="T118" s="188"/>
      <c r="U118" s="188"/>
      <c r="V118" s="188"/>
      <c r="X118" s="188">
        <f>'Form 2D - Design'!Y124</f>
        <v>0</v>
      </c>
      <c r="Y118" s="188"/>
      <c r="Z118" s="188"/>
      <c r="AA118" s="188"/>
      <c r="AC118" s="188">
        <f>'Form 2D - Design'!AC124</f>
        <v>0</v>
      </c>
      <c r="AD118" s="188"/>
      <c r="AE118" s="188"/>
      <c r="AF118" s="188"/>
      <c r="AH118" s="188">
        <f>'Form 2D - Design'!AG124</f>
        <v>0</v>
      </c>
      <c r="AI118" s="188"/>
      <c r="AJ118" s="188"/>
      <c r="AK118" s="188"/>
      <c r="AS118" s="35"/>
      <c r="AW118" s="36"/>
      <c r="AX118" s="36"/>
      <c r="AY118" s="36"/>
      <c r="AZ118" s="36"/>
      <c r="BA118" s="36"/>
      <c r="BB118" s="36"/>
      <c r="BC118" s="36"/>
      <c r="BD118" s="36"/>
    </row>
    <row r="119" spans="1:56" ht="15" customHeight="1" x14ac:dyDescent="0.3">
      <c r="C119" s="158">
        <f>Tables!$C$20</f>
        <v>8.6999999999999993</v>
      </c>
      <c r="D119" s="158"/>
      <c r="G119" s="2" t="str">
        <f>Tables!$A$20</f>
        <v>(50-yr)</v>
      </c>
      <c r="I119" s="166">
        <f>'Form 2D - Design'!M125</f>
        <v>0</v>
      </c>
      <c r="J119" s="166"/>
      <c r="K119" s="166"/>
      <c r="L119" s="166"/>
      <c r="N119" s="188">
        <f>'Form 2D - Design'!Q125</f>
        <v>0</v>
      </c>
      <c r="O119" s="188"/>
      <c r="P119" s="188"/>
      <c r="Q119" s="188"/>
      <c r="S119" s="188">
        <f>'Form 2D - Design'!U125</f>
        <v>0</v>
      </c>
      <c r="T119" s="188"/>
      <c r="U119" s="188"/>
      <c r="V119" s="188"/>
      <c r="X119" s="188">
        <f>'Form 2D - Design'!Y125</f>
        <v>0</v>
      </c>
      <c r="Y119" s="188"/>
      <c r="Z119" s="188"/>
      <c r="AA119" s="188"/>
      <c r="AC119" s="188">
        <f>'Form 2D - Design'!AC125</f>
        <v>0</v>
      </c>
      <c r="AD119" s="188"/>
      <c r="AE119" s="188"/>
      <c r="AF119" s="188"/>
      <c r="AH119" s="188">
        <f>'Form 2D - Design'!AG125</f>
        <v>0</v>
      </c>
      <c r="AI119" s="188"/>
      <c r="AJ119" s="188"/>
      <c r="AK119" s="188"/>
      <c r="AS119" s="35"/>
      <c r="AW119" s="36"/>
      <c r="AX119" s="36"/>
      <c r="AY119" s="36"/>
      <c r="AZ119" s="36"/>
      <c r="BA119" s="36"/>
      <c r="BB119" s="36"/>
      <c r="BC119" s="36"/>
      <c r="BD119" s="36"/>
    </row>
    <row r="120" spans="1:56" ht="15" customHeight="1" x14ac:dyDescent="0.3">
      <c r="C120" s="158">
        <f>Tables!$C$21</f>
        <v>9.93</v>
      </c>
      <c r="D120" s="158"/>
      <c r="G120" s="2" t="str">
        <f>Tables!$A$21</f>
        <v>(100-yr)</v>
      </c>
      <c r="I120" s="166">
        <f>'Form 2D - Design'!M126</f>
        <v>0</v>
      </c>
      <c r="J120" s="166"/>
      <c r="K120" s="166"/>
      <c r="L120" s="166"/>
      <c r="N120" s="188">
        <f>'Form 2D - Design'!Q126</f>
        <v>0</v>
      </c>
      <c r="O120" s="188"/>
      <c r="P120" s="188"/>
      <c r="Q120" s="188"/>
      <c r="S120" s="188">
        <f>'Form 2D - Design'!U126</f>
        <v>0</v>
      </c>
      <c r="T120" s="188"/>
      <c r="U120" s="188"/>
      <c r="V120" s="188"/>
      <c r="X120" s="188">
        <f>'Form 2D - Design'!Y126</f>
        <v>0</v>
      </c>
      <c r="Y120" s="188"/>
      <c r="Z120" s="188"/>
      <c r="AA120" s="188"/>
      <c r="AC120" s="188">
        <f>'Form 2D - Design'!AC126</f>
        <v>0</v>
      </c>
      <c r="AD120" s="188"/>
      <c r="AE120" s="188"/>
      <c r="AF120" s="188"/>
      <c r="AH120" s="188">
        <f>'Form 2D - Design'!AG126</f>
        <v>0</v>
      </c>
      <c r="AI120" s="188"/>
      <c r="AJ120" s="188"/>
      <c r="AK120" s="188"/>
      <c r="AM120" s="23" t="s">
        <v>161</v>
      </c>
      <c r="AN120" s="23" t="s">
        <v>162</v>
      </c>
      <c r="AO120" s="23" t="s">
        <v>78</v>
      </c>
      <c r="AP120" s="23" t="s">
        <v>388</v>
      </c>
      <c r="AQ120" s="23" t="s">
        <v>79</v>
      </c>
      <c r="AS120" s="35"/>
      <c r="AW120" s="36"/>
      <c r="AX120" s="36"/>
      <c r="AY120" s="36"/>
      <c r="AZ120" s="36"/>
      <c r="BA120" s="36"/>
      <c r="BB120" s="36"/>
      <c r="BC120" s="36"/>
      <c r="BD120" s="36"/>
    </row>
    <row r="121" spans="1:56" ht="30" customHeight="1" x14ac:dyDescent="0.3">
      <c r="B121" s="1" t="s">
        <v>60</v>
      </c>
      <c r="I121" s="189" t="s">
        <v>136</v>
      </c>
      <c r="J121" s="189"/>
      <c r="K121" s="189"/>
      <c r="L121" s="189"/>
      <c r="M121" s="49"/>
      <c r="N121" s="189" t="s">
        <v>256</v>
      </c>
      <c r="O121" s="189"/>
      <c r="P121" s="189"/>
      <c r="Q121" s="189"/>
      <c r="S121" s="189" t="s">
        <v>257</v>
      </c>
      <c r="T121" s="189"/>
      <c r="U121" s="189"/>
      <c r="V121" s="189"/>
      <c r="X121" s="189" t="s">
        <v>445</v>
      </c>
      <c r="Y121" s="189"/>
      <c r="Z121" s="189"/>
      <c r="AA121" s="189"/>
      <c r="AC121" s="189" t="s">
        <v>361</v>
      </c>
      <c r="AD121" s="189"/>
      <c r="AE121" s="189"/>
      <c r="AF121" s="189"/>
      <c r="AH121" s="189" t="s">
        <v>137</v>
      </c>
      <c r="AI121" s="189"/>
      <c r="AJ121" s="189"/>
      <c r="AK121" s="189"/>
      <c r="AM121" s="124">
        <f>SUM(AM122:AM127)</f>
        <v>6</v>
      </c>
      <c r="AN121" s="124">
        <f>SUM(AN122:AN127)</f>
        <v>6</v>
      </c>
      <c r="AO121" s="124">
        <f>SUM(AO122:AO126)</f>
        <v>5</v>
      </c>
      <c r="AP121" s="124">
        <f>SUM(AP122:AP127)</f>
        <v>6</v>
      </c>
      <c r="AQ121" s="124">
        <f>SUM(AQ122:AQ127)</f>
        <v>6</v>
      </c>
      <c r="AS121" s="35"/>
      <c r="AW121" s="36"/>
      <c r="AX121" s="36"/>
      <c r="AY121" s="36"/>
      <c r="AZ121" s="36"/>
      <c r="BA121" s="36"/>
      <c r="BB121" s="36"/>
      <c r="BC121" s="36"/>
      <c r="BD121" s="36"/>
    </row>
    <row r="122" spans="1:56" ht="15" customHeight="1" x14ac:dyDescent="0.3">
      <c r="C122" s="158">
        <f>Tables!$C$16</f>
        <v>4.21</v>
      </c>
      <c r="D122" s="158"/>
      <c r="G122" s="2" t="str">
        <f>Tables!$A$16</f>
        <v>(2-yr)</v>
      </c>
      <c r="I122" s="157"/>
      <c r="J122" s="157"/>
      <c r="K122" s="157"/>
      <c r="L122" s="157"/>
      <c r="N122" s="157"/>
      <c r="O122" s="157"/>
      <c r="P122" s="157"/>
      <c r="Q122" s="157"/>
      <c r="S122" s="157"/>
      <c r="T122" s="157"/>
      <c r="U122" s="157"/>
      <c r="V122" s="157"/>
      <c r="X122" s="157"/>
      <c r="Y122" s="157"/>
      <c r="Z122" s="157"/>
      <c r="AA122" s="157"/>
      <c r="AC122" s="157"/>
      <c r="AD122" s="157"/>
      <c r="AE122" s="157"/>
      <c r="AF122" s="157"/>
      <c r="AH122" s="157"/>
      <c r="AI122" s="157"/>
      <c r="AJ122" s="157"/>
      <c r="AK122" s="157"/>
      <c r="AM122" s="124">
        <f>IF(ISBLANK(I122),1,IF(I122=I115,0,1))</f>
        <v>1</v>
      </c>
      <c r="AN122" s="124">
        <f t="shared" ref="AN122:AN126" si="1">IF(ISBLANK(N122),1,IF(N122=N115,0,1))</f>
        <v>1</v>
      </c>
      <c r="AO122" s="124">
        <f>IF(OR(ISBLANK(X122),ISBLANK(Y$73)),1,IF(X122&gt;Y$73,1,0))</f>
        <v>1</v>
      </c>
      <c r="AP122" s="124">
        <f>IF(ISBLANK(AC122),1,IF(AC122&gt;$AP$117,1,0))</f>
        <v>1</v>
      </c>
      <c r="AQ122" s="124">
        <f>IF(OR(ISBLANK(AH122),ISBLANK(I122)),1,IF(AH122&gt;I122,1,0))</f>
        <v>1</v>
      </c>
      <c r="AS122" s="35"/>
      <c r="AW122" s="36"/>
      <c r="AX122" s="36"/>
      <c r="AY122" s="36"/>
      <c r="AZ122" s="36"/>
      <c r="BA122" s="36"/>
      <c r="BB122" s="36"/>
      <c r="BC122" s="36"/>
      <c r="BD122" s="36"/>
    </row>
    <row r="123" spans="1:56" ht="15" customHeight="1" x14ac:dyDescent="0.3">
      <c r="C123" s="158">
        <f>Tables!$C$17</f>
        <v>5.24</v>
      </c>
      <c r="D123" s="158"/>
      <c r="G123" s="2" t="str">
        <f>Tables!$A$17</f>
        <v>(5-yr)</v>
      </c>
      <c r="I123" s="153"/>
      <c r="J123" s="153"/>
      <c r="K123" s="153"/>
      <c r="L123" s="153"/>
      <c r="N123" s="153"/>
      <c r="O123" s="153"/>
      <c r="P123" s="153"/>
      <c r="Q123" s="153"/>
      <c r="S123" s="153"/>
      <c r="T123" s="153"/>
      <c r="U123" s="153"/>
      <c r="V123" s="153"/>
      <c r="X123" s="153"/>
      <c r="Y123" s="153"/>
      <c r="Z123" s="153"/>
      <c r="AA123" s="153"/>
      <c r="AC123" s="153"/>
      <c r="AD123" s="153"/>
      <c r="AE123" s="153"/>
      <c r="AF123" s="153"/>
      <c r="AH123" s="153"/>
      <c r="AI123" s="153"/>
      <c r="AJ123" s="153"/>
      <c r="AK123" s="153"/>
      <c r="AM123" s="124">
        <f t="shared" ref="AM123:AM127" si="2">IF(ISBLANK(I123),1,IF(I123=I116,0,1))</f>
        <v>1</v>
      </c>
      <c r="AN123" s="124">
        <f t="shared" si="1"/>
        <v>1</v>
      </c>
      <c r="AO123" s="124">
        <f t="shared" ref="AO123:AO126" si="3">IF(OR(ISBLANK(X123),ISBLANK(Y$73)),1,IF(X123&gt;Y$73,1,0))</f>
        <v>1</v>
      </c>
      <c r="AP123" s="124">
        <f t="shared" ref="AP123:AP127" si="4">IF(ISBLANK(AC123),1,IF(AC123&gt;$AP$117,1,0))</f>
        <v>1</v>
      </c>
      <c r="AQ123" s="124">
        <f>IF(OR(ISBLANK(AH123),ISBLANK(I123)),1,IF(AH123&gt;I123,1,0))</f>
        <v>1</v>
      </c>
      <c r="AW123" s="36"/>
      <c r="AX123" s="36"/>
      <c r="AY123" s="36"/>
      <c r="AZ123" s="36"/>
      <c r="BA123" s="36"/>
      <c r="BB123" s="36"/>
      <c r="BC123" s="36"/>
      <c r="BD123" s="36"/>
    </row>
    <row r="124" spans="1:56" ht="15" customHeight="1" x14ac:dyDescent="0.3">
      <c r="C124" s="158">
        <f>Tables!$C$18</f>
        <v>6.17</v>
      </c>
      <c r="D124" s="158"/>
      <c r="G124" s="2" t="str">
        <f>Tables!$A$18</f>
        <v>(10-yr)</v>
      </c>
      <c r="I124" s="153"/>
      <c r="J124" s="153"/>
      <c r="K124" s="153"/>
      <c r="L124" s="153"/>
      <c r="N124" s="153"/>
      <c r="O124" s="153"/>
      <c r="P124" s="153"/>
      <c r="Q124" s="153"/>
      <c r="S124" s="153"/>
      <c r="T124" s="153"/>
      <c r="U124" s="153"/>
      <c r="V124" s="153"/>
      <c r="X124" s="153"/>
      <c r="Y124" s="153"/>
      <c r="Z124" s="153"/>
      <c r="AA124" s="153"/>
      <c r="AC124" s="153"/>
      <c r="AD124" s="153"/>
      <c r="AE124" s="153"/>
      <c r="AF124" s="153"/>
      <c r="AH124" s="153"/>
      <c r="AI124" s="153"/>
      <c r="AJ124" s="153"/>
      <c r="AK124" s="153"/>
      <c r="AM124" s="124">
        <f t="shared" si="2"/>
        <v>1</v>
      </c>
      <c r="AN124" s="124">
        <f t="shared" si="1"/>
        <v>1</v>
      </c>
      <c r="AO124" s="124">
        <f t="shared" si="3"/>
        <v>1</v>
      </c>
      <c r="AP124" s="124">
        <f t="shared" si="4"/>
        <v>1</v>
      </c>
      <c r="AQ124" s="124">
        <f t="shared" ref="AQ124:AQ127" si="5">IF(OR(ISBLANK(AH124),ISBLANK(I124)),1,IF(AH124&gt;I124,1,0))</f>
        <v>1</v>
      </c>
      <c r="AS124" s="39"/>
      <c r="AW124" s="36"/>
      <c r="AX124" s="36"/>
      <c r="AY124" s="36"/>
      <c r="AZ124" s="36"/>
      <c r="BA124" s="36"/>
      <c r="BB124" s="36"/>
      <c r="BC124" s="36"/>
      <c r="BD124" s="36"/>
    </row>
    <row r="125" spans="1:56" ht="15" customHeight="1" x14ac:dyDescent="0.3">
      <c r="C125" s="158">
        <f>Tables!$C$19</f>
        <v>7.55</v>
      </c>
      <c r="D125" s="158"/>
      <c r="G125" s="2" t="str">
        <f>Tables!$A$19</f>
        <v>(25-yr)</v>
      </c>
      <c r="I125" s="153"/>
      <c r="J125" s="153"/>
      <c r="K125" s="153"/>
      <c r="L125" s="153"/>
      <c r="N125" s="153"/>
      <c r="O125" s="153"/>
      <c r="P125" s="153"/>
      <c r="Q125" s="153"/>
      <c r="S125" s="153"/>
      <c r="T125" s="153"/>
      <c r="U125" s="153"/>
      <c r="V125" s="153"/>
      <c r="X125" s="153"/>
      <c r="Y125" s="153"/>
      <c r="Z125" s="153"/>
      <c r="AA125" s="153"/>
      <c r="AC125" s="153"/>
      <c r="AD125" s="153"/>
      <c r="AE125" s="153"/>
      <c r="AF125" s="153"/>
      <c r="AH125" s="153"/>
      <c r="AI125" s="153"/>
      <c r="AJ125" s="153"/>
      <c r="AK125" s="153"/>
      <c r="AM125" s="124">
        <f t="shared" si="2"/>
        <v>1</v>
      </c>
      <c r="AN125" s="124">
        <f t="shared" si="1"/>
        <v>1</v>
      </c>
      <c r="AO125" s="124">
        <f t="shared" si="3"/>
        <v>1</v>
      </c>
      <c r="AP125" s="124">
        <f t="shared" si="4"/>
        <v>1</v>
      </c>
      <c r="AQ125" s="124">
        <f t="shared" si="5"/>
        <v>1</v>
      </c>
      <c r="AS125" s="39"/>
      <c r="AW125" s="36"/>
      <c r="AX125" s="36"/>
      <c r="AY125" s="36"/>
      <c r="AZ125" s="36"/>
      <c r="BA125" s="36"/>
      <c r="BB125" s="36"/>
      <c r="BC125" s="36"/>
      <c r="BD125" s="36"/>
    </row>
    <row r="126" spans="1:56" ht="15" customHeight="1" x14ac:dyDescent="0.3">
      <c r="C126" s="158">
        <f>Tables!$C$20</f>
        <v>8.6999999999999993</v>
      </c>
      <c r="D126" s="158"/>
      <c r="G126" s="2" t="str">
        <f>Tables!$A$20</f>
        <v>(50-yr)</v>
      </c>
      <c r="I126" s="153"/>
      <c r="J126" s="153"/>
      <c r="K126" s="153"/>
      <c r="L126" s="153"/>
      <c r="N126" s="153"/>
      <c r="O126" s="153"/>
      <c r="P126" s="153"/>
      <c r="Q126" s="153"/>
      <c r="S126" s="153"/>
      <c r="T126" s="153"/>
      <c r="U126" s="153"/>
      <c r="V126" s="153"/>
      <c r="X126" s="153"/>
      <c r="Y126" s="153"/>
      <c r="Z126" s="153"/>
      <c r="AA126" s="153"/>
      <c r="AC126" s="153"/>
      <c r="AD126" s="153"/>
      <c r="AE126" s="153"/>
      <c r="AF126" s="153"/>
      <c r="AH126" s="153"/>
      <c r="AI126" s="153"/>
      <c r="AJ126" s="153"/>
      <c r="AK126" s="153"/>
      <c r="AM126" s="124">
        <f t="shared" si="2"/>
        <v>1</v>
      </c>
      <c r="AN126" s="124">
        <f t="shared" si="1"/>
        <v>1</v>
      </c>
      <c r="AO126" s="124">
        <f t="shared" si="3"/>
        <v>1</v>
      </c>
      <c r="AP126" s="124">
        <f t="shared" si="4"/>
        <v>1</v>
      </c>
      <c r="AQ126" s="124">
        <f t="shared" si="5"/>
        <v>1</v>
      </c>
      <c r="AW126" s="36"/>
      <c r="AX126" s="36"/>
      <c r="AY126" s="36"/>
      <c r="AZ126" s="36"/>
      <c r="BA126" s="36"/>
      <c r="BB126" s="36"/>
      <c r="BC126" s="36"/>
      <c r="BD126" s="36"/>
    </row>
    <row r="127" spans="1:56" ht="15" customHeight="1" x14ac:dyDescent="0.3">
      <c r="C127" s="158">
        <f>Tables!$C$21</f>
        <v>9.93</v>
      </c>
      <c r="D127" s="158"/>
      <c r="G127" s="2" t="str">
        <f>Tables!$A$21</f>
        <v>(100-yr)</v>
      </c>
      <c r="I127" s="153"/>
      <c r="J127" s="153"/>
      <c r="K127" s="153"/>
      <c r="L127" s="153"/>
      <c r="N127" s="153"/>
      <c r="O127" s="153"/>
      <c r="P127" s="153"/>
      <c r="Q127" s="153"/>
      <c r="S127" s="153"/>
      <c r="T127" s="153"/>
      <c r="U127" s="153"/>
      <c r="V127" s="153"/>
      <c r="X127" s="153"/>
      <c r="Y127" s="153"/>
      <c r="Z127" s="153"/>
      <c r="AA127" s="153"/>
      <c r="AC127" s="153"/>
      <c r="AD127" s="153"/>
      <c r="AE127" s="153"/>
      <c r="AF127" s="153"/>
      <c r="AH127" s="153"/>
      <c r="AI127" s="153"/>
      <c r="AJ127" s="153"/>
      <c r="AK127" s="153"/>
      <c r="AM127" s="124">
        <f t="shared" si="2"/>
        <v>1</v>
      </c>
      <c r="AN127" s="124">
        <f>IF(ISBLANK(N127),1,IF(N127=N120,0,1))</f>
        <v>1</v>
      </c>
      <c r="AO127" s="130">
        <f>AH73-X127</f>
        <v>0</v>
      </c>
      <c r="AP127" s="124">
        <f t="shared" si="4"/>
        <v>1</v>
      </c>
      <c r="AQ127" s="124">
        <f t="shared" si="5"/>
        <v>1</v>
      </c>
      <c r="AW127" s="36"/>
      <c r="AX127" s="36"/>
      <c r="AY127" s="36"/>
      <c r="AZ127" s="36"/>
      <c r="BA127" s="36"/>
      <c r="BB127" s="36"/>
      <c r="BC127" s="36"/>
      <c r="BD127" s="36"/>
    </row>
    <row r="128" spans="1:56" ht="4.95" customHeight="1" x14ac:dyDescent="0.3">
      <c r="AM128" s="125"/>
      <c r="AN128" s="125"/>
      <c r="AO128" s="125"/>
      <c r="AP128" s="125"/>
      <c r="AQ128" s="125"/>
      <c r="AW128" s="36"/>
      <c r="AX128" s="36"/>
      <c r="AY128" s="36"/>
      <c r="AZ128" s="36"/>
      <c r="BA128" s="36"/>
      <c r="BB128" s="36"/>
      <c r="BC128" s="36"/>
      <c r="BD128" s="36"/>
    </row>
    <row r="129" spans="2:56" ht="15" customHeight="1" x14ac:dyDescent="0.3">
      <c r="B129" s="5" t="s">
        <v>23</v>
      </c>
      <c r="C129" s="5"/>
      <c r="D129" s="5"/>
      <c r="E129" s="5"/>
      <c r="F129" s="5"/>
      <c r="G129" s="5"/>
      <c r="AW129" s="36"/>
      <c r="AX129" s="36"/>
      <c r="AY129" s="36"/>
      <c r="AZ129" s="36"/>
      <c r="BA129" s="36"/>
      <c r="BB129" s="36"/>
      <c r="BC129" s="36"/>
      <c r="BD129" s="36"/>
    </row>
    <row r="130" spans="2:56" ht="15" customHeight="1" x14ac:dyDescent="0.3">
      <c r="B130" s="168"/>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70"/>
      <c r="AW130" s="36"/>
      <c r="AX130" s="36"/>
      <c r="AY130" s="36"/>
      <c r="AZ130" s="36"/>
      <c r="BA130" s="36"/>
      <c r="BB130" s="36"/>
      <c r="BC130" s="36"/>
      <c r="BD130" s="36"/>
    </row>
    <row r="131" spans="2:56" ht="15" customHeight="1" x14ac:dyDescent="0.3">
      <c r="B131" s="171"/>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3"/>
      <c r="AS131" s="39"/>
      <c r="AW131" s="36"/>
      <c r="AX131" s="36"/>
      <c r="AY131" s="36"/>
      <c r="AZ131" s="36"/>
      <c r="BA131" s="36"/>
      <c r="BB131" s="36"/>
      <c r="BC131" s="36"/>
      <c r="BD131" s="36"/>
    </row>
    <row r="132" spans="2:56" ht="15" customHeight="1" x14ac:dyDescent="0.3">
      <c r="B132" s="171"/>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3"/>
      <c r="AS132" s="35"/>
      <c r="AW132" s="36"/>
      <c r="AX132" s="36"/>
      <c r="AY132" s="36"/>
      <c r="AZ132" s="36"/>
      <c r="BA132" s="36"/>
      <c r="BB132" s="36"/>
      <c r="BC132" s="36"/>
      <c r="BD132" s="36"/>
    </row>
    <row r="133" spans="2:56" ht="15" customHeight="1" x14ac:dyDescent="0.3">
      <c r="B133" s="171"/>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3"/>
      <c r="AV133"/>
      <c r="AW133" s="36"/>
      <c r="AX133" s="36"/>
      <c r="AY133" s="36"/>
      <c r="AZ133" s="36"/>
      <c r="BA133" s="36"/>
      <c r="BB133" s="36"/>
      <c r="BC133" s="36"/>
      <c r="BD133" s="36"/>
    </row>
    <row r="134" spans="2:56" ht="15" customHeight="1" x14ac:dyDescent="0.3">
      <c r="B134" s="171"/>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3"/>
      <c r="AW134" s="36"/>
      <c r="AX134" s="36"/>
      <c r="AY134" s="36"/>
      <c r="AZ134" s="36"/>
      <c r="BA134" s="36"/>
      <c r="BB134" s="36"/>
      <c r="BC134" s="36"/>
      <c r="BD134" s="36"/>
    </row>
    <row r="135" spans="2:56" ht="15" customHeight="1" x14ac:dyDescent="0.3">
      <c r="B135" s="171"/>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3"/>
      <c r="AW135" s="36"/>
      <c r="AX135" s="36"/>
      <c r="AY135" s="36"/>
      <c r="AZ135" s="36"/>
      <c r="BA135" s="36"/>
      <c r="BB135" s="36"/>
      <c r="BC135" s="36"/>
      <c r="BD135" s="36"/>
    </row>
    <row r="136" spans="2:56" ht="15" customHeight="1" x14ac:dyDescent="0.3">
      <c r="B136" s="174"/>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6"/>
      <c r="AW136" s="36"/>
      <c r="AX136" s="36"/>
      <c r="AY136" s="36"/>
      <c r="AZ136" s="36"/>
      <c r="BA136" s="36"/>
      <c r="BB136" s="36"/>
      <c r="BC136" s="36"/>
      <c r="BD136" s="36"/>
    </row>
    <row r="137" spans="2:56" ht="4.95" customHeight="1" x14ac:dyDescent="0.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2:56" ht="15" customHeight="1" x14ac:dyDescent="0.3">
      <c r="B138" s="1" t="s">
        <v>142</v>
      </c>
      <c r="C138" s="1"/>
      <c r="D138" s="1"/>
      <c r="E138" s="1"/>
      <c r="F138" s="1"/>
      <c r="G138" s="1"/>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2:56" ht="15" customHeight="1" x14ac:dyDescent="0.3">
      <c r="C139" s="2"/>
      <c r="E139" s="2" t="s">
        <v>144</v>
      </c>
      <c r="F139" s="155"/>
      <c r="G139" s="155"/>
      <c r="H139" s="155"/>
      <c r="I139" s="155"/>
      <c r="J139" s="155"/>
      <c r="K139" s="155"/>
      <c r="L139" s="155"/>
      <c r="M139" s="155"/>
      <c r="N139" s="155"/>
      <c r="O139" s="155"/>
      <c r="P139" s="155"/>
      <c r="Q139" s="155"/>
      <c r="R139" s="155"/>
      <c r="S139" s="155"/>
      <c r="T139" s="155"/>
      <c r="U139" s="155"/>
      <c r="V139" s="155"/>
    </row>
    <row r="140" spans="2:56" ht="15" customHeight="1" x14ac:dyDescent="0.3">
      <c r="C140" s="2"/>
      <c r="E140" s="2" t="s">
        <v>145</v>
      </c>
      <c r="F140" s="167"/>
      <c r="G140" s="167"/>
      <c r="H140" s="167"/>
      <c r="I140" s="167"/>
      <c r="J140" s="167"/>
      <c r="K140" s="167"/>
      <c r="L140" s="167"/>
      <c r="M140" s="167"/>
      <c r="N140" s="167"/>
      <c r="O140" s="167"/>
      <c r="P140" s="167"/>
      <c r="Q140" s="167"/>
      <c r="R140" s="167"/>
      <c r="S140" s="167"/>
      <c r="T140" s="167"/>
      <c r="U140" s="167"/>
      <c r="V140" s="167"/>
      <c r="W140" s="4"/>
      <c r="X140" s="4"/>
      <c r="Y140" s="4"/>
      <c r="Z140" s="4"/>
      <c r="AA140" s="4"/>
      <c r="AB140" s="4"/>
      <c r="AC140" s="4"/>
      <c r="AD140" s="4"/>
      <c r="AE140" s="4"/>
      <c r="AF140" s="4"/>
      <c r="AG140" s="4"/>
      <c r="AH140" s="4"/>
      <c r="AI140" s="4"/>
      <c r="AJ140" s="4"/>
      <c r="AK140" s="4"/>
    </row>
    <row r="141" spans="2:56" ht="15" customHeight="1" x14ac:dyDescent="0.3">
      <c r="C141" s="2"/>
      <c r="E141" s="2" t="s">
        <v>446</v>
      </c>
      <c r="F141" s="167"/>
      <c r="G141" s="167"/>
      <c r="H141" s="167"/>
      <c r="I141" s="167"/>
      <c r="J141" s="167"/>
      <c r="K141" s="167"/>
      <c r="L141" s="167"/>
      <c r="M141" s="167"/>
      <c r="N141" s="167"/>
      <c r="O141" s="167"/>
      <c r="P141" s="167"/>
      <c r="Q141" s="167"/>
      <c r="R141" s="167"/>
      <c r="S141" s="167"/>
      <c r="T141" s="167"/>
      <c r="U141" s="167"/>
      <c r="V141" s="167"/>
      <c r="X141" s="2"/>
      <c r="Y141" s="2" t="s">
        <v>148</v>
      </c>
      <c r="Z141" s="163"/>
      <c r="AA141" s="163"/>
      <c r="AB141" s="163"/>
      <c r="AC141" s="163"/>
      <c r="AF141" s="2"/>
      <c r="AG141" s="2" t="s">
        <v>149</v>
      </c>
      <c r="AH141" s="163"/>
      <c r="AI141" s="163"/>
      <c r="AJ141" s="163"/>
      <c r="AK141" s="163"/>
    </row>
    <row r="142" spans="2:56" ht="15" customHeight="1" x14ac:dyDescent="0.3">
      <c r="C142" s="2"/>
      <c r="E142" s="2" t="s">
        <v>146</v>
      </c>
      <c r="F142" s="202"/>
      <c r="G142" s="202"/>
      <c r="H142" s="202"/>
      <c r="I142" s="202"/>
      <c r="J142" s="202"/>
      <c r="K142" s="202"/>
      <c r="L142" s="202"/>
      <c r="M142" s="202"/>
      <c r="N142" s="202"/>
      <c r="O142" s="202"/>
      <c r="P142" s="202"/>
      <c r="Q142" s="202"/>
      <c r="R142" s="202"/>
      <c r="S142" s="202"/>
      <c r="T142" s="202"/>
      <c r="U142" s="202"/>
      <c r="V142" s="202"/>
      <c r="X142" s="11"/>
      <c r="Y142" s="11"/>
      <c r="Z142" s="11"/>
      <c r="AA142" s="11"/>
      <c r="AB142" s="11"/>
      <c r="AC142" s="11"/>
      <c r="AD142" s="2" t="s">
        <v>150</v>
      </c>
      <c r="AE142" s="201"/>
      <c r="AF142" s="201"/>
      <c r="AG142" s="201"/>
      <c r="AH142" s="201"/>
      <c r="AI142" s="201"/>
    </row>
    <row r="143" spans="2:56" ht="4.95" customHeight="1" x14ac:dyDescent="0.3">
      <c r="B143" s="2"/>
      <c r="C143" s="2"/>
      <c r="D143" s="2"/>
      <c r="E143" s="2"/>
      <c r="F143" s="2"/>
      <c r="G143" s="2"/>
      <c r="H143" s="50"/>
      <c r="I143" s="50"/>
      <c r="J143" s="50"/>
      <c r="K143" s="50"/>
      <c r="L143" s="50"/>
      <c r="M143" s="50"/>
      <c r="N143" s="50"/>
      <c r="O143" s="50"/>
      <c r="P143" s="50"/>
      <c r="Q143" s="50"/>
      <c r="R143" s="50"/>
      <c r="S143" s="50"/>
      <c r="T143" s="50"/>
      <c r="U143" s="50"/>
      <c r="V143" s="50"/>
      <c r="X143" s="4"/>
      <c r="Y143" s="4"/>
      <c r="Z143" s="4"/>
      <c r="AA143" s="4"/>
      <c r="AB143" s="4"/>
      <c r="AC143" s="4"/>
      <c r="AD143" s="2"/>
      <c r="AE143" s="4"/>
      <c r="AF143" s="4"/>
      <c r="AG143" s="4"/>
      <c r="AH143" s="4"/>
      <c r="AI143" s="4"/>
      <c r="AJ143" s="4"/>
      <c r="AK143" s="4"/>
    </row>
    <row r="144" spans="2:56" ht="15" customHeight="1" x14ac:dyDescent="0.3">
      <c r="B144" s="1" t="s">
        <v>401</v>
      </c>
      <c r="C144" s="1"/>
      <c r="D144" s="1"/>
      <c r="E144" s="1"/>
      <c r="F144" s="1"/>
      <c r="G144" s="1"/>
      <c r="H144" s="4"/>
      <c r="I144" s="4"/>
      <c r="J144" s="4"/>
      <c r="K144" s="4"/>
      <c r="L144" s="4"/>
      <c r="M144" s="4"/>
      <c r="N144" s="4"/>
      <c r="O144" s="4"/>
      <c r="P144" s="4"/>
      <c r="Q144" s="4"/>
      <c r="R144" s="4"/>
      <c r="S144" s="4"/>
      <c r="T144" s="4"/>
      <c r="U144" s="4"/>
      <c r="V144" s="4"/>
      <c r="X144" s="4"/>
      <c r="Y144" s="4"/>
      <c r="Z144" s="4"/>
      <c r="AA144" s="4"/>
      <c r="AB144" s="4"/>
      <c r="AC144" s="4"/>
      <c r="AD144" s="22"/>
      <c r="AE144" s="39" t="s">
        <v>143</v>
      </c>
      <c r="AH144" s="4"/>
      <c r="AI144" s="4"/>
      <c r="AJ144" s="4"/>
      <c r="AK144" s="4"/>
      <c r="AM144" s="124">
        <f>IF(ISBLANK(AD144),1,2)</f>
        <v>1</v>
      </c>
    </row>
    <row r="145" spans="2:39" ht="15" customHeight="1" x14ac:dyDescent="0.3">
      <c r="C145" s="2"/>
      <c r="E145" s="2" t="s">
        <v>147</v>
      </c>
      <c r="F145" s="155"/>
      <c r="G145" s="155"/>
      <c r="H145" s="155"/>
      <c r="I145" s="155"/>
      <c r="J145" s="155"/>
      <c r="K145" s="155"/>
      <c r="L145" s="155"/>
      <c r="M145" s="155"/>
      <c r="N145" s="155"/>
      <c r="O145" s="155"/>
      <c r="P145" s="155"/>
      <c r="Q145" s="155"/>
      <c r="R145" s="155"/>
      <c r="S145" s="155"/>
      <c r="T145" s="155"/>
      <c r="U145" s="155"/>
      <c r="V145" s="155"/>
      <c r="AM145" s="124">
        <f>IF(AND(ISBLANK(F145),ISBLANK(F146),ISBLANK(F147),ISBLANK(F149),ISBLANK(F150),ISBLANK(Z147),ISBLANK(AH147),ISBLANK(AE149),ISBLANK(AE150)),1,2)</f>
        <v>1</v>
      </c>
    </row>
    <row r="146" spans="2:39" ht="15" customHeight="1" x14ac:dyDescent="0.3">
      <c r="C146" s="2"/>
      <c r="E146" s="2" t="s">
        <v>145</v>
      </c>
      <c r="F146" s="167"/>
      <c r="G146" s="167"/>
      <c r="H146" s="167"/>
      <c r="I146" s="167"/>
      <c r="J146" s="167"/>
      <c r="K146" s="167"/>
      <c r="L146" s="167"/>
      <c r="M146" s="167"/>
      <c r="N146" s="167"/>
      <c r="O146" s="167"/>
      <c r="P146" s="167"/>
      <c r="Q146" s="167"/>
      <c r="R146" s="167"/>
      <c r="S146" s="167"/>
      <c r="T146" s="167"/>
      <c r="U146" s="167"/>
      <c r="V146" s="167"/>
      <c r="AE146" s="4"/>
      <c r="AF146" s="4"/>
      <c r="AG146" s="4"/>
      <c r="AH146" s="4"/>
      <c r="AI146" s="4"/>
      <c r="AJ146" s="4"/>
      <c r="AK146" s="4"/>
    </row>
    <row r="147" spans="2:39" ht="15" customHeight="1" x14ac:dyDescent="0.3">
      <c r="C147" s="2"/>
      <c r="E147" s="2" t="s">
        <v>446</v>
      </c>
      <c r="F147" s="167"/>
      <c r="G147" s="167"/>
      <c r="H147" s="167"/>
      <c r="I147" s="167"/>
      <c r="J147" s="167"/>
      <c r="K147" s="167"/>
      <c r="L147" s="167"/>
      <c r="M147" s="167"/>
      <c r="N147" s="167"/>
      <c r="O147" s="167"/>
      <c r="P147" s="167"/>
      <c r="Q147" s="167"/>
      <c r="R147" s="167"/>
      <c r="S147" s="167"/>
      <c r="T147" s="167"/>
      <c r="U147" s="167"/>
      <c r="V147" s="167"/>
      <c r="X147" s="2"/>
      <c r="Y147" s="2" t="s">
        <v>148</v>
      </c>
      <c r="Z147" s="163"/>
      <c r="AA147" s="163"/>
      <c r="AB147" s="163"/>
      <c r="AC147" s="163"/>
      <c r="AF147" s="2"/>
      <c r="AG147" s="2" t="s">
        <v>149</v>
      </c>
      <c r="AH147" s="163"/>
      <c r="AI147" s="163"/>
      <c r="AJ147" s="163"/>
      <c r="AK147" s="163"/>
    </row>
    <row r="148" spans="2:39" ht="15" customHeight="1" x14ac:dyDescent="0.3">
      <c r="C148" s="2"/>
      <c r="E148" s="2" t="s">
        <v>152</v>
      </c>
    </row>
    <row r="149" spans="2:39" ht="15" customHeight="1" x14ac:dyDescent="0.3">
      <c r="C149" s="2"/>
      <c r="E149" s="2" t="s">
        <v>144</v>
      </c>
      <c r="F149" s="155"/>
      <c r="G149" s="155"/>
      <c r="H149" s="155"/>
      <c r="I149" s="155"/>
      <c r="J149" s="155"/>
      <c r="K149" s="155"/>
      <c r="L149" s="155"/>
      <c r="M149" s="155"/>
      <c r="N149" s="155"/>
      <c r="O149" s="155"/>
      <c r="P149" s="155"/>
      <c r="Q149" s="155"/>
      <c r="R149" s="155"/>
      <c r="S149" s="155"/>
      <c r="T149" s="155"/>
      <c r="U149" s="155"/>
      <c r="V149" s="155"/>
      <c r="W149" s="4"/>
      <c r="X149" s="4"/>
      <c r="Y149" s="4"/>
      <c r="Z149" s="4"/>
      <c r="AA149" s="4"/>
      <c r="AB149" s="4"/>
      <c r="AC149" s="4"/>
      <c r="AD149" s="2" t="s">
        <v>151</v>
      </c>
      <c r="AE149" s="155"/>
      <c r="AF149" s="155"/>
      <c r="AG149" s="155"/>
      <c r="AH149" s="155"/>
      <c r="AI149" s="155"/>
      <c r="AJ149" s="155"/>
      <c r="AK149" s="155"/>
    </row>
    <row r="150" spans="2:39" ht="15" customHeight="1" x14ac:dyDescent="0.3">
      <c r="C150" s="2"/>
      <c r="E150" s="2" t="s">
        <v>146</v>
      </c>
      <c r="F150" s="202"/>
      <c r="G150" s="202"/>
      <c r="H150" s="202"/>
      <c r="I150" s="202"/>
      <c r="J150" s="202"/>
      <c r="K150" s="202"/>
      <c r="L150" s="202"/>
      <c r="M150" s="202"/>
      <c r="N150" s="202"/>
      <c r="O150" s="202"/>
      <c r="P150" s="202"/>
      <c r="Q150" s="202"/>
      <c r="R150" s="202"/>
      <c r="S150" s="202"/>
      <c r="T150" s="202"/>
      <c r="U150" s="202"/>
      <c r="V150" s="202"/>
      <c r="AD150" s="2" t="s">
        <v>150</v>
      </c>
      <c r="AE150" s="200"/>
      <c r="AF150" s="200"/>
      <c r="AG150" s="200"/>
      <c r="AH150" s="200"/>
      <c r="AI150" s="200"/>
    </row>
    <row r="151" spans="2:39" ht="15" customHeight="1" x14ac:dyDescent="0.3">
      <c r="C151" s="2"/>
    </row>
    <row r="152" spans="2:39" ht="15" customHeight="1" x14ac:dyDescent="0.3">
      <c r="AK152" s="41"/>
    </row>
    <row r="153" spans="2:39" ht="15" customHeight="1" x14ac:dyDescent="0.3">
      <c r="B153" s="142">
        <f>Tables!$C$13</f>
        <v>45383</v>
      </c>
      <c r="C153" s="142"/>
      <c r="D153" s="142"/>
      <c r="E153" s="142"/>
      <c r="F153" s="142"/>
      <c r="G153" s="142"/>
      <c r="H153" s="142"/>
      <c r="R153" s="143" t="s">
        <v>348</v>
      </c>
      <c r="S153" s="143"/>
      <c r="T153" s="143"/>
      <c r="U153" s="143"/>
      <c r="AK153" s="41"/>
    </row>
    <row r="154" spans="2:39" ht="15" customHeight="1" x14ac:dyDescent="0.3">
      <c r="C154" s="2" t="s">
        <v>1</v>
      </c>
      <c r="D154" s="145">
        <f>IF(ISBLANK($E$15),"",$E$15)</f>
        <v>0</v>
      </c>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46"/>
      <c r="AB154" s="46"/>
      <c r="AC154" s="46"/>
      <c r="AF154" s="2" t="s">
        <v>21</v>
      </c>
      <c r="AG154" s="146">
        <f>$AF$15</f>
        <v>0</v>
      </c>
      <c r="AH154" s="146"/>
      <c r="AI154" s="146"/>
      <c r="AJ154" s="146"/>
      <c r="AK154" s="146"/>
    </row>
    <row r="155" spans="2:39" ht="15" customHeight="1" x14ac:dyDescent="0.3">
      <c r="H155" s="47"/>
      <c r="I155" s="47"/>
      <c r="J155" s="2"/>
      <c r="K155" s="2"/>
      <c r="L155" s="2"/>
      <c r="M155" s="47"/>
      <c r="N155" s="46"/>
      <c r="O155" s="46"/>
      <c r="P155" s="46"/>
      <c r="Q155" s="46"/>
      <c r="R155" s="46"/>
      <c r="S155" s="46"/>
      <c r="T155" s="46"/>
      <c r="U155" s="46"/>
      <c r="V155" s="46"/>
      <c r="W155" s="46"/>
      <c r="X155" s="46"/>
      <c r="Y155" s="46"/>
      <c r="Z155" s="46"/>
      <c r="AA155" s="46"/>
      <c r="AB155" s="46"/>
      <c r="AC155" s="46"/>
      <c r="AF155" s="2" t="s">
        <v>35</v>
      </c>
      <c r="AG155" s="199">
        <f>IF(ISBLANK($AF$16),"",$AF$16)</f>
        <v>0</v>
      </c>
      <c r="AH155" s="199"/>
      <c r="AI155" s="199"/>
      <c r="AJ155" s="199"/>
      <c r="AK155" s="199"/>
    </row>
    <row r="156" spans="2:39" ht="15" customHeight="1" x14ac:dyDescent="0.3">
      <c r="B156" s="1" t="s">
        <v>19</v>
      </c>
      <c r="C156" s="1"/>
      <c r="D156" s="1"/>
      <c r="E156" s="1"/>
      <c r="F156" s="1"/>
      <c r="G156" s="1"/>
      <c r="H156" s="1"/>
      <c r="I156" s="1"/>
    </row>
    <row r="157" spans="2:39" ht="15" customHeight="1" x14ac:dyDescent="0.3">
      <c r="B157" s="198" t="s">
        <v>402</v>
      </c>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row>
    <row r="158" spans="2:39" ht="15" customHeight="1" x14ac:dyDescent="0.3">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row>
    <row r="159" spans="2:39" ht="15" customHeight="1" x14ac:dyDescent="0.3">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row>
    <row r="160" spans="2:39" ht="15" customHeight="1" x14ac:dyDescent="0.3">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row>
    <row r="161" spans="1:39" ht="15" customHeight="1" x14ac:dyDescent="0.3">
      <c r="D161" s="2" t="s">
        <v>205</v>
      </c>
      <c r="E161" s="155"/>
      <c r="F161" s="155"/>
      <c r="G161" s="155"/>
      <c r="H161" s="155"/>
      <c r="I161" s="155"/>
      <c r="J161" s="155"/>
      <c r="K161" s="155"/>
      <c r="L161" s="155"/>
      <c r="M161" s="155"/>
      <c r="N161" s="155"/>
      <c r="O161" s="155"/>
      <c r="P161" s="155"/>
      <c r="Q161" s="155"/>
      <c r="R161" s="155"/>
      <c r="S161" s="155"/>
      <c r="T161" s="155"/>
      <c r="U161" s="155"/>
      <c r="V161" s="155"/>
      <c r="W161" s="155"/>
      <c r="X161" s="155"/>
      <c r="Y161" s="155"/>
      <c r="AB161" s="2" t="s">
        <v>466</v>
      </c>
      <c r="AC161" s="2"/>
      <c r="AD161" s="2"/>
      <c r="AE161" s="2"/>
    </row>
    <row r="162" spans="1:39" ht="15" customHeight="1" x14ac:dyDescent="0.3">
      <c r="D162" s="2" t="s">
        <v>144</v>
      </c>
      <c r="E162" s="167"/>
      <c r="F162" s="167"/>
      <c r="G162" s="167"/>
      <c r="H162" s="167"/>
      <c r="I162" s="167"/>
      <c r="J162" s="167"/>
      <c r="K162" s="167"/>
      <c r="L162" s="167"/>
      <c r="M162" s="167"/>
      <c r="N162" s="167"/>
      <c r="O162" s="167"/>
      <c r="P162" s="167"/>
      <c r="Q162" s="167"/>
      <c r="R162" s="167"/>
      <c r="S162" s="167"/>
      <c r="T162" s="167"/>
      <c r="U162" s="167"/>
      <c r="V162" s="167"/>
      <c r="W162" s="167"/>
      <c r="X162" s="167"/>
      <c r="Y162" s="167"/>
    </row>
    <row r="163" spans="1:39" ht="15" customHeight="1" x14ac:dyDescent="0.3">
      <c r="D163" s="2" t="s">
        <v>145</v>
      </c>
      <c r="E163" s="167"/>
      <c r="F163" s="167"/>
      <c r="G163" s="167"/>
      <c r="H163" s="167"/>
      <c r="I163" s="167"/>
      <c r="J163" s="167"/>
      <c r="K163" s="167"/>
      <c r="L163" s="167"/>
      <c r="M163" s="167"/>
      <c r="N163" s="167"/>
      <c r="O163" s="167"/>
      <c r="P163" s="167"/>
      <c r="Q163" s="167"/>
      <c r="R163" s="167"/>
      <c r="S163" s="167"/>
      <c r="T163" s="167"/>
      <c r="U163" s="167"/>
      <c r="V163" s="167"/>
      <c r="W163" s="167"/>
      <c r="X163" s="167"/>
      <c r="Y163" s="167"/>
    </row>
    <row r="164" spans="1:39" ht="15" customHeight="1" x14ac:dyDescent="0.3">
      <c r="D164" s="2" t="s">
        <v>446</v>
      </c>
      <c r="E164" s="167"/>
      <c r="F164" s="167"/>
      <c r="G164" s="167"/>
      <c r="H164" s="167"/>
      <c r="I164" s="167"/>
      <c r="J164" s="167"/>
      <c r="K164" s="167"/>
      <c r="L164" s="78"/>
      <c r="M164" s="78"/>
      <c r="N164" s="136" t="s">
        <v>148</v>
      </c>
      <c r="O164" s="167"/>
      <c r="P164" s="167"/>
      <c r="Q164" s="167"/>
      <c r="R164" s="167"/>
      <c r="S164" s="78"/>
      <c r="T164" s="78"/>
      <c r="U164" s="78"/>
      <c r="V164" s="136" t="s">
        <v>149</v>
      </c>
      <c r="W164" s="152"/>
      <c r="X164" s="152"/>
      <c r="Y164" s="152"/>
    </row>
    <row r="165" spans="1:39" ht="15" customHeight="1" x14ac:dyDescent="0.3">
      <c r="D165" s="2" t="s">
        <v>146</v>
      </c>
      <c r="E165" s="179"/>
      <c r="F165" s="179"/>
      <c r="G165" s="179"/>
      <c r="H165" s="179"/>
      <c r="I165" s="179"/>
      <c r="J165" s="179"/>
      <c r="K165" s="179"/>
      <c r="L165" s="179"/>
      <c r="M165" s="179"/>
      <c r="N165" s="179"/>
      <c r="O165" s="179"/>
      <c r="P165" s="179"/>
      <c r="Q165" s="179"/>
      <c r="R165" s="179"/>
      <c r="S165" s="179"/>
      <c r="T165" s="179"/>
      <c r="U165" s="179"/>
      <c r="V165" s="179"/>
      <c r="W165" s="179"/>
      <c r="X165" s="179"/>
      <c r="Y165" s="179"/>
    </row>
    <row r="166" spans="1:39" ht="15" customHeight="1" x14ac:dyDescent="0.3">
      <c r="D166" s="2" t="s">
        <v>150</v>
      </c>
      <c r="E166" s="180"/>
      <c r="F166" s="180"/>
      <c r="G166" s="180"/>
      <c r="H166" s="180"/>
      <c r="I166" s="180"/>
      <c r="U166" s="67"/>
      <c r="V166" s="67"/>
      <c r="W166" s="67"/>
    </row>
    <row r="167" spans="1:39" ht="15" customHeight="1" x14ac:dyDescent="0.3">
      <c r="D167" s="2"/>
      <c r="E167" s="78"/>
      <c r="F167" s="78"/>
      <c r="G167" s="78"/>
      <c r="H167" s="78"/>
      <c r="I167" s="78"/>
      <c r="U167" s="67"/>
      <c r="V167" s="67"/>
      <c r="W167" s="67"/>
    </row>
    <row r="168" spans="1:39" ht="15" customHeight="1" x14ac:dyDescent="0.3">
      <c r="D168" s="2" t="s">
        <v>206</v>
      </c>
      <c r="E168" s="103"/>
      <c r="F168" s="103"/>
      <c r="G168" s="103"/>
      <c r="H168" s="103"/>
      <c r="I168" s="103"/>
      <c r="J168" s="103"/>
      <c r="K168" s="103"/>
      <c r="L168" s="103"/>
      <c r="M168" s="103"/>
      <c r="N168" s="103"/>
      <c r="O168" s="103"/>
      <c r="P168" s="103"/>
      <c r="Q168" s="103"/>
      <c r="R168" s="103"/>
      <c r="S168" s="103"/>
      <c r="T168" s="103"/>
      <c r="U168" s="67"/>
      <c r="V168" s="67"/>
      <c r="W168" s="67"/>
      <c r="AB168" s="2" t="s">
        <v>185</v>
      </c>
      <c r="AC168" s="151"/>
      <c r="AD168" s="151"/>
      <c r="AE168" s="151"/>
      <c r="AF168" s="151"/>
      <c r="AG168" s="151"/>
    </row>
    <row r="169" spans="1:39" ht="15" customHeight="1" x14ac:dyDescent="0.3">
      <c r="S169" s="67"/>
      <c r="T169" s="67"/>
    </row>
    <row r="170" spans="1:39" ht="15" customHeight="1" x14ac:dyDescent="0.3">
      <c r="AK170" s="41"/>
    </row>
    <row r="171" spans="1:39" ht="15" customHeight="1" x14ac:dyDescent="0.3">
      <c r="AK171" s="41"/>
    </row>
    <row r="172" spans="1:39" ht="15" customHeight="1" x14ac:dyDescent="0.3"/>
    <row r="173" spans="1:39" ht="15" customHeight="1" x14ac:dyDescent="0.3"/>
    <row r="174" spans="1:39" ht="15" customHeight="1" x14ac:dyDescent="0.3">
      <c r="A174" s="51" t="s">
        <v>89</v>
      </c>
      <c r="B174" s="71"/>
      <c r="C174" s="71"/>
      <c r="D174" s="71"/>
      <c r="E174" s="71"/>
      <c r="F174" s="71"/>
      <c r="G174" s="71"/>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3"/>
      <c r="AM174" s="23" t="s">
        <v>447</v>
      </c>
    </row>
    <row r="175" spans="1:39" ht="15" customHeight="1" x14ac:dyDescent="0.3">
      <c r="A175" s="54"/>
      <c r="B175" s="8"/>
      <c r="C175" s="8"/>
      <c r="D175" s="8"/>
      <c r="E175" s="8"/>
      <c r="F175" s="8"/>
      <c r="G175" s="8"/>
      <c r="H175" s="8"/>
      <c r="I175" s="8"/>
      <c r="J175" s="55" t="s">
        <v>90</v>
      </c>
      <c r="K175" s="55"/>
      <c r="L175" s="56" t="s">
        <v>225</v>
      </c>
      <c r="M175" s="55"/>
      <c r="N175" s="56"/>
      <c r="O175" s="56"/>
      <c r="P175" s="56"/>
      <c r="Q175" s="8"/>
      <c r="R175" s="8"/>
      <c r="S175" s="8"/>
      <c r="T175" s="8"/>
      <c r="U175" s="8"/>
      <c r="V175" s="8"/>
      <c r="W175" s="8"/>
      <c r="X175" s="8"/>
      <c r="Y175" s="8"/>
      <c r="Z175" s="8"/>
      <c r="AA175" s="8"/>
      <c r="AB175" s="8"/>
      <c r="AC175" s="8"/>
      <c r="AD175" s="8"/>
      <c r="AE175" s="8"/>
      <c r="AF175" s="8"/>
      <c r="AG175" s="8"/>
      <c r="AH175" s="8"/>
      <c r="AI175" s="8"/>
      <c r="AJ175" s="8"/>
      <c r="AK175" s="8"/>
      <c r="AL175" s="57"/>
      <c r="AM175" s="124">
        <f>SUM(AM177:AM188)</f>
        <v>10</v>
      </c>
    </row>
    <row r="176" spans="1:39" ht="15" customHeight="1" x14ac:dyDescent="0.3">
      <c r="A176" s="54"/>
      <c r="B176" s="8"/>
      <c r="C176" s="8"/>
      <c r="D176" s="8"/>
      <c r="E176" s="8"/>
      <c r="F176" s="8"/>
      <c r="G176" s="8"/>
      <c r="H176" s="8"/>
      <c r="I176" s="8"/>
      <c r="J176" s="9" t="s">
        <v>448</v>
      </c>
      <c r="K176" s="55"/>
      <c r="L176" s="8" t="str">
        <f>IF(ISBLANK(AF14),Tables!G16,"")</f>
        <v>0 has not been provided</v>
      </c>
      <c r="M176" s="55"/>
      <c r="N176" s="56"/>
      <c r="O176" s="56"/>
      <c r="P176" s="56"/>
      <c r="Q176" s="8"/>
      <c r="R176" s="8"/>
      <c r="S176" s="8"/>
      <c r="T176" s="8"/>
      <c r="U176" s="8"/>
      <c r="V176" s="8"/>
      <c r="W176" s="8"/>
      <c r="X176" s="8"/>
      <c r="Y176" s="8"/>
      <c r="Z176" s="8"/>
      <c r="AA176" s="8"/>
      <c r="AB176" s="8"/>
      <c r="AC176" s="8"/>
      <c r="AD176" s="8"/>
      <c r="AE176" s="8"/>
      <c r="AF176" s="8"/>
      <c r="AG176" s="8"/>
      <c r="AH176" s="8"/>
      <c r="AI176" s="8"/>
      <c r="AJ176" s="8"/>
      <c r="AK176" s="8"/>
      <c r="AL176" s="57"/>
      <c r="AM176" s="124"/>
    </row>
    <row r="177" spans="1:39" ht="15" customHeight="1" x14ac:dyDescent="0.3">
      <c r="A177" s="54"/>
      <c r="B177" s="8"/>
      <c r="C177" s="8"/>
      <c r="D177" s="8"/>
      <c r="E177" s="8"/>
      <c r="F177" s="8"/>
      <c r="G177" s="8"/>
      <c r="H177" s="8"/>
      <c r="I177" s="8"/>
      <c r="J177" s="127" t="s">
        <v>350</v>
      </c>
      <c r="K177" s="9"/>
      <c r="L177" s="8"/>
      <c r="M177" s="9"/>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57"/>
      <c r="AM177" s="124">
        <f>IF(L177="",0,1)</f>
        <v>0</v>
      </c>
    </row>
    <row r="178" spans="1:39" ht="15" customHeight="1" x14ac:dyDescent="0.3">
      <c r="A178" s="54"/>
      <c r="B178" s="8"/>
      <c r="C178" s="8"/>
      <c r="D178" s="8"/>
      <c r="E178" s="8"/>
      <c r="F178" s="8"/>
      <c r="G178" s="8"/>
      <c r="H178" s="8"/>
      <c r="I178" s="8"/>
      <c r="J178" s="9" t="s">
        <v>356</v>
      </c>
      <c r="K178" s="9"/>
      <c r="L178" s="8" t="str">
        <f>IF(ISBLANK(AH65),Tables!G13,IF(AH65&gt;96,Tables!G13,""))</f>
        <v>Drain time exceeds the recommended 96 hours</v>
      </c>
      <c r="M178" s="9"/>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57"/>
      <c r="AM178" s="124">
        <f t="shared" ref="AM178:AM188" si="6">IF(L178="",0,1)</f>
        <v>1</v>
      </c>
    </row>
    <row r="179" spans="1:39" ht="15" customHeight="1" x14ac:dyDescent="0.3">
      <c r="A179" s="54"/>
      <c r="B179" s="8"/>
      <c r="C179" s="8"/>
      <c r="D179" s="8"/>
      <c r="E179" s="8"/>
      <c r="F179" s="8"/>
      <c r="G179" s="8"/>
      <c r="H179" s="8"/>
      <c r="I179" s="8"/>
      <c r="J179" s="9" t="s">
        <v>357</v>
      </c>
      <c r="K179" s="9"/>
      <c r="L179" s="8" t="str">
        <f>IF(ISBLANK(AH66),Tables!G14,IF(AH66&gt;12,Tables!G14,""))</f>
        <v>Drain time exceeds the recommended 12 hours</v>
      </c>
      <c r="M179" s="9"/>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57"/>
      <c r="AM179" s="124">
        <f t="shared" si="6"/>
        <v>1</v>
      </c>
    </row>
    <row r="180" spans="1:39" ht="15" customHeight="1" x14ac:dyDescent="0.3">
      <c r="A180" s="54"/>
      <c r="B180" s="8"/>
      <c r="C180" s="8"/>
      <c r="D180" s="8"/>
      <c r="E180" s="8"/>
      <c r="F180" s="8"/>
      <c r="G180" s="8"/>
      <c r="H180" s="8"/>
      <c r="I180" s="8"/>
      <c r="J180" s="9" t="s">
        <v>93</v>
      </c>
      <c r="K180" s="9"/>
      <c r="L180" s="8" t="str">
        <f>IF(AP68&gt;1,Tables!G4,IF(AP68=0,"",IF(AP70&lt;6,Tables!G4,"")))</f>
        <v>Emergency Spillway Section not completed</v>
      </c>
      <c r="M180" s="9"/>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57"/>
      <c r="AM180" s="124">
        <f t="shared" si="6"/>
        <v>1</v>
      </c>
    </row>
    <row r="181" spans="1:39" ht="15" customHeight="1" x14ac:dyDescent="0.3">
      <c r="A181" s="54"/>
      <c r="B181" s="8"/>
      <c r="C181" s="8"/>
      <c r="D181" s="8"/>
      <c r="E181" s="8"/>
      <c r="F181" s="8"/>
      <c r="G181" s="8"/>
      <c r="H181" s="8"/>
      <c r="I181" s="8"/>
      <c r="J181" s="9" t="s">
        <v>117</v>
      </c>
      <c r="K181" s="9"/>
      <c r="L181" s="8" t="str">
        <f>IF(AP76&lt;2,Tables!G8,"")</f>
        <v>Latitude and/or Longitude not provided</v>
      </c>
      <c r="M181" s="9"/>
      <c r="N181" s="9"/>
      <c r="O181" s="8"/>
      <c r="P181" s="8"/>
      <c r="Q181" s="8"/>
      <c r="R181" s="8"/>
      <c r="S181" s="8"/>
      <c r="T181" s="8"/>
      <c r="U181" s="8"/>
      <c r="V181" s="8"/>
      <c r="W181" s="8"/>
      <c r="X181" s="8"/>
      <c r="Y181" s="8"/>
      <c r="Z181" s="8"/>
      <c r="AA181" s="8"/>
      <c r="AB181" s="8"/>
      <c r="AC181" s="8"/>
      <c r="AD181" s="8"/>
      <c r="AE181" s="8"/>
      <c r="AF181" s="8"/>
      <c r="AG181" s="8"/>
      <c r="AH181" s="8"/>
      <c r="AI181" s="8"/>
      <c r="AJ181" s="8"/>
      <c r="AK181" s="8"/>
      <c r="AL181" s="57"/>
      <c r="AM181" s="124">
        <f t="shared" si="6"/>
        <v>1</v>
      </c>
    </row>
    <row r="182" spans="1:39" ht="15" customHeight="1" x14ac:dyDescent="0.3">
      <c r="A182" s="54"/>
      <c r="B182" s="8"/>
      <c r="C182" s="8"/>
      <c r="D182" s="8"/>
      <c r="E182" s="8"/>
      <c r="F182" s="8"/>
      <c r="G182" s="8"/>
      <c r="H182" s="8"/>
      <c r="I182" s="8"/>
      <c r="J182" s="9" t="s">
        <v>158</v>
      </c>
      <c r="K182" s="9"/>
      <c r="L182" s="8" t="str">
        <f>IF(AN82=2,Tables!G9,IF(AN80=1,"",Tables!G9))</f>
        <v>WQv Required &gt; WQv Provided</v>
      </c>
      <c r="M182" s="9"/>
      <c r="N182" s="9"/>
      <c r="O182" s="8"/>
      <c r="P182" s="8"/>
      <c r="Q182" s="8"/>
      <c r="R182" s="8"/>
      <c r="S182" s="8"/>
      <c r="T182" s="8"/>
      <c r="U182" s="8"/>
      <c r="V182" s="8"/>
      <c r="W182" s="8"/>
      <c r="X182" s="8"/>
      <c r="Y182" s="8"/>
      <c r="Z182" s="8"/>
      <c r="AA182" s="8"/>
      <c r="AB182" s="8"/>
      <c r="AC182" s="8"/>
      <c r="AD182" s="8"/>
      <c r="AE182" s="8"/>
      <c r="AF182" s="8"/>
      <c r="AG182" s="8"/>
      <c r="AH182" s="8"/>
      <c r="AI182" s="8"/>
      <c r="AJ182" s="8"/>
      <c r="AK182" s="8"/>
      <c r="AL182" s="57"/>
      <c r="AM182" s="124">
        <f t="shared" si="6"/>
        <v>1</v>
      </c>
    </row>
    <row r="183" spans="1:39" ht="15" customHeight="1" x14ac:dyDescent="0.3">
      <c r="A183" s="54"/>
      <c r="B183" s="8"/>
      <c r="C183" s="8"/>
      <c r="D183" s="8"/>
      <c r="E183" s="8"/>
      <c r="F183" s="8"/>
      <c r="G183" s="8"/>
      <c r="H183" s="8"/>
      <c r="I183" s="8"/>
      <c r="J183" s="127" t="s">
        <v>255</v>
      </c>
      <c r="K183" s="9"/>
      <c r="L183" s="8"/>
      <c r="M183" s="9"/>
      <c r="N183" s="9"/>
      <c r="O183" s="8"/>
      <c r="P183" s="8"/>
      <c r="Q183" s="8"/>
      <c r="R183" s="8"/>
      <c r="S183" s="8"/>
      <c r="T183" s="8"/>
      <c r="U183" s="8"/>
      <c r="V183" s="8"/>
      <c r="W183" s="8"/>
      <c r="X183" s="8"/>
      <c r="Y183" s="8"/>
      <c r="Z183" s="8"/>
      <c r="AA183" s="8"/>
      <c r="AB183" s="8"/>
      <c r="AC183" s="8"/>
      <c r="AD183" s="8"/>
      <c r="AE183" s="8"/>
      <c r="AF183" s="8"/>
      <c r="AG183" s="8"/>
      <c r="AH183" s="8"/>
      <c r="AI183" s="8"/>
      <c r="AJ183" s="8"/>
      <c r="AK183" s="8"/>
      <c r="AL183" s="57"/>
      <c r="AM183" s="124">
        <f t="shared" si="6"/>
        <v>0</v>
      </c>
    </row>
    <row r="184" spans="1:39" ht="15" customHeight="1" x14ac:dyDescent="0.3">
      <c r="A184" s="54"/>
      <c r="B184" s="8"/>
      <c r="C184" s="8"/>
      <c r="D184" s="8"/>
      <c r="E184" s="8"/>
      <c r="F184" s="8"/>
      <c r="G184" s="8"/>
      <c r="H184" s="8"/>
      <c r="I184" s="8"/>
      <c r="J184" s="9" t="s">
        <v>164</v>
      </c>
      <c r="K184" s="9"/>
      <c r="L184" s="8" t="str">
        <f>IF(AM121&gt;0,Tables!G10,"")</f>
        <v>As-Built does not match Design</v>
      </c>
      <c r="M184" s="9"/>
      <c r="N184" s="9"/>
      <c r="O184" s="8"/>
      <c r="P184" s="8"/>
      <c r="Q184" s="8"/>
      <c r="R184" s="8"/>
      <c r="S184" s="8"/>
      <c r="T184" s="8"/>
      <c r="U184" s="8"/>
      <c r="V184" s="8"/>
      <c r="W184" s="8"/>
      <c r="X184" s="8"/>
      <c r="Y184" s="8"/>
      <c r="Z184" s="8"/>
      <c r="AA184" s="8"/>
      <c r="AB184" s="8"/>
      <c r="AC184" s="8"/>
      <c r="AD184" s="8"/>
      <c r="AE184" s="8"/>
      <c r="AF184" s="8"/>
      <c r="AG184" s="8"/>
      <c r="AH184" s="8"/>
      <c r="AI184" s="8"/>
      <c r="AJ184" s="8"/>
      <c r="AK184" s="8"/>
      <c r="AL184" s="57"/>
      <c r="AM184" s="124">
        <f t="shared" si="6"/>
        <v>1</v>
      </c>
    </row>
    <row r="185" spans="1:39" ht="15" customHeight="1" x14ac:dyDescent="0.3">
      <c r="A185" s="54"/>
      <c r="B185" s="8"/>
      <c r="C185" s="8"/>
      <c r="D185" s="8"/>
      <c r="E185" s="8"/>
      <c r="F185" s="8"/>
      <c r="G185" s="8"/>
      <c r="H185" s="8"/>
      <c r="I185" s="8"/>
      <c r="J185" s="9" t="s">
        <v>359</v>
      </c>
      <c r="K185" s="9"/>
      <c r="L185" s="8" t="str">
        <f>IF(AN121&gt;0,Tables!G10,"")</f>
        <v>As-Built does not match Design</v>
      </c>
      <c r="M185" s="9"/>
      <c r="N185" s="9"/>
      <c r="O185" s="8"/>
      <c r="P185" s="8"/>
      <c r="Q185" s="8"/>
      <c r="R185" s="8"/>
      <c r="S185" s="8"/>
      <c r="T185" s="8"/>
      <c r="U185" s="8"/>
      <c r="V185" s="8"/>
      <c r="W185" s="8"/>
      <c r="X185" s="8"/>
      <c r="Y185" s="8"/>
      <c r="Z185" s="8"/>
      <c r="AA185" s="8"/>
      <c r="AB185" s="8"/>
      <c r="AC185" s="8"/>
      <c r="AD185" s="8"/>
      <c r="AE185" s="8"/>
      <c r="AF185" s="8"/>
      <c r="AG185" s="8"/>
      <c r="AH185" s="8"/>
      <c r="AI185" s="8"/>
      <c r="AJ185" s="8"/>
      <c r="AK185" s="8"/>
      <c r="AL185" s="57"/>
      <c r="AM185" s="124">
        <f t="shared" si="6"/>
        <v>1</v>
      </c>
    </row>
    <row r="186" spans="1:39" ht="15" customHeight="1" x14ac:dyDescent="0.3">
      <c r="A186" s="54"/>
      <c r="B186" s="8"/>
      <c r="C186" s="8"/>
      <c r="D186" s="8"/>
      <c r="E186" s="8"/>
      <c r="F186" s="8"/>
      <c r="G186" s="8"/>
      <c r="H186" s="8"/>
      <c r="I186" s="8"/>
      <c r="J186" s="9" t="s">
        <v>88</v>
      </c>
      <c r="K186" s="9"/>
      <c r="L186" s="8" t="str">
        <f>IF(AO121=0,"",Tables!G7)</f>
        <v>Max Stage for 2, 5, 10, and/or 25-year storm  &gt; Emergency Spillway Crest Elevation</v>
      </c>
      <c r="M186" s="9"/>
      <c r="N186" s="9"/>
      <c r="O186" s="8"/>
      <c r="P186" s="8"/>
      <c r="Q186" s="8"/>
      <c r="R186" s="8"/>
      <c r="S186" s="8"/>
      <c r="T186" s="8"/>
      <c r="U186" s="8"/>
      <c r="V186" s="8"/>
      <c r="W186" s="8"/>
      <c r="X186" s="8"/>
      <c r="Y186" s="8"/>
      <c r="Z186" s="8"/>
      <c r="AA186" s="8"/>
      <c r="AB186" s="8"/>
      <c r="AC186" s="8"/>
      <c r="AD186" s="8"/>
      <c r="AE186" s="8"/>
      <c r="AF186" s="8"/>
      <c r="AG186" s="8"/>
      <c r="AH186" s="8"/>
      <c r="AI186" s="8"/>
      <c r="AJ186" s="8"/>
      <c r="AK186" s="8"/>
      <c r="AL186" s="57"/>
      <c r="AM186" s="124">
        <f t="shared" si="6"/>
        <v>1</v>
      </c>
    </row>
    <row r="187" spans="1:39" ht="15" customHeight="1" x14ac:dyDescent="0.3">
      <c r="A187" s="54"/>
      <c r="B187" s="8"/>
      <c r="C187" s="8"/>
      <c r="D187" s="8"/>
      <c r="E187" s="8"/>
      <c r="F187" s="8"/>
      <c r="G187" s="8"/>
      <c r="H187" s="8"/>
      <c r="I187" s="8"/>
      <c r="J187" s="9" t="s">
        <v>362</v>
      </c>
      <c r="K187" s="9"/>
      <c r="L187" s="8" t="str">
        <f>IF(AP121&gt;0,Tables!G6,"")</f>
        <v>Velocity &gt; 6 ft/s</v>
      </c>
      <c r="M187" s="9"/>
      <c r="N187" s="9"/>
      <c r="O187" s="8"/>
      <c r="P187" s="8"/>
      <c r="Q187" s="8"/>
      <c r="R187" s="8"/>
      <c r="S187" s="8"/>
      <c r="T187" s="8"/>
      <c r="U187" s="8"/>
      <c r="V187" s="8"/>
      <c r="W187" s="8"/>
      <c r="X187" s="8"/>
      <c r="Y187" s="8"/>
      <c r="Z187" s="8"/>
      <c r="AA187" s="8"/>
      <c r="AB187" s="8"/>
      <c r="AC187" s="8"/>
      <c r="AD187" s="8"/>
      <c r="AE187" s="8"/>
      <c r="AF187" s="8"/>
      <c r="AG187" s="8"/>
      <c r="AH187" s="8"/>
      <c r="AI187" s="8"/>
      <c r="AJ187" s="8"/>
      <c r="AK187" s="8"/>
      <c r="AL187" s="57"/>
      <c r="AM187" s="124">
        <f t="shared" si="6"/>
        <v>1</v>
      </c>
    </row>
    <row r="188" spans="1:39" ht="15" customHeight="1" x14ac:dyDescent="0.3">
      <c r="A188" s="58"/>
      <c r="B188" s="59"/>
      <c r="C188" s="59"/>
      <c r="D188" s="59"/>
      <c r="E188" s="59"/>
      <c r="F188" s="59"/>
      <c r="G188" s="59"/>
      <c r="H188" s="59"/>
      <c r="I188" s="59"/>
      <c r="J188" s="60" t="s">
        <v>94</v>
      </c>
      <c r="K188" s="60"/>
      <c r="L188" s="59" t="str">
        <f>IF(AQ121&gt;0,Tables!G5,"")</f>
        <v>Total Post Q &gt; Pre Q</v>
      </c>
      <c r="M188" s="60"/>
      <c r="N188" s="60"/>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61"/>
      <c r="AM188" s="124">
        <f t="shared" si="6"/>
        <v>1</v>
      </c>
    </row>
    <row r="189" spans="1:39" ht="15" customHeight="1" x14ac:dyDescent="0.3"/>
    <row r="190" spans="1:39" ht="15" customHeight="1" x14ac:dyDescent="0.3"/>
    <row r="191" spans="1:39" ht="15" customHeight="1" x14ac:dyDescent="0.3"/>
    <row r="192" spans="1:39" ht="15" customHeight="1" x14ac:dyDescent="0.3"/>
    <row r="193" spans="2:37" ht="15" customHeight="1" x14ac:dyDescent="0.3"/>
    <row r="194" spans="2:37" ht="15" customHeight="1" x14ac:dyDescent="0.3"/>
    <row r="195" spans="2:37" ht="15" customHeight="1" x14ac:dyDescent="0.3">
      <c r="AK195" s="41"/>
    </row>
    <row r="196" spans="2:37" ht="15" customHeight="1" x14ac:dyDescent="0.3">
      <c r="B196" s="142">
        <f>Tables!$C$13</f>
        <v>45383</v>
      </c>
      <c r="C196" s="142"/>
      <c r="D196" s="142"/>
      <c r="E196" s="142"/>
      <c r="F196" s="142"/>
      <c r="G196" s="142"/>
      <c r="H196" s="142"/>
      <c r="R196" s="143" t="s">
        <v>347</v>
      </c>
      <c r="S196" s="143"/>
      <c r="T196" s="143"/>
      <c r="U196" s="143"/>
      <c r="AK196" s="41"/>
    </row>
    <row r="197" spans="2:37" ht="15" customHeight="1" x14ac:dyDescent="0.3"/>
    <row r="198" spans="2:37" ht="15" customHeight="1" x14ac:dyDescent="0.3"/>
    <row r="199" spans="2:37" ht="15" customHeight="1" x14ac:dyDescent="0.3"/>
  </sheetData>
  <sheetProtection algorithmName="SHA-512" hashValue="0khboXPspXIEquTA35Y8unHaPCD41wCE0vvh+MIF0uzBsoux9zEscJnHg99q/nOwVztAHkMklo94tFLsFLAGXA==" saltValue="cRWeAo691Z4WXpBg6QwbKg==" spinCount="100000" sheet="1" objects="1" scenarios="1" selectLockedCells="1"/>
  <mergeCells count="365">
    <mergeCell ref="AG22:AI22"/>
    <mergeCell ref="B196:H196"/>
    <mergeCell ref="R196:U196"/>
    <mergeCell ref="E161:Y161"/>
    <mergeCell ref="E162:Y162"/>
    <mergeCell ref="E163:Y163"/>
    <mergeCell ref="E164:K164"/>
    <mergeCell ref="O164:R164"/>
    <mergeCell ref="W164:Y164"/>
    <mergeCell ref="E165:Y165"/>
    <mergeCell ref="E166:I166"/>
    <mergeCell ref="Y35:AB35"/>
    <mergeCell ref="AC168:AG168"/>
    <mergeCell ref="N22:P22"/>
    <mergeCell ref="Z147:AC147"/>
    <mergeCell ref="AH147:AK147"/>
    <mergeCell ref="AE149:AK149"/>
    <mergeCell ref="B60:H60"/>
    <mergeCell ref="R60:U60"/>
    <mergeCell ref="B108:H108"/>
    <mergeCell ref="R108:U108"/>
    <mergeCell ref="AC122:AF122"/>
    <mergeCell ref="M85:P85"/>
    <mergeCell ref="AG100:AJ100"/>
    <mergeCell ref="AH71:AK71"/>
    <mergeCell ref="AG97:AJ97"/>
    <mergeCell ref="AG23:AI23"/>
    <mergeCell ref="AG42:AI42"/>
    <mergeCell ref="Y49:AB49"/>
    <mergeCell ref="Y50:AA50"/>
    <mergeCell ref="Y51:AA51"/>
    <mergeCell ref="Y52:AA52"/>
    <mergeCell ref="AH49:AJ49"/>
    <mergeCell ref="AH51:AJ51"/>
    <mergeCell ref="AH52:AJ52"/>
    <mergeCell ref="AG27:AK27"/>
    <mergeCell ref="AG32:AI32"/>
    <mergeCell ref="AG31:AI31"/>
    <mergeCell ref="AG30:AI30"/>
    <mergeCell ref="AG43:AI43"/>
    <mergeCell ref="AB38:AD38"/>
    <mergeCell ref="AG38:AI38"/>
    <mergeCell ref="AB37:AD37"/>
    <mergeCell ref="AG37:AI37"/>
    <mergeCell ref="Y42:AB42"/>
    <mergeCell ref="AB32:AD32"/>
    <mergeCell ref="AB31:AD31"/>
    <mergeCell ref="AB30:AD30"/>
    <mergeCell ref="AH55:AJ55"/>
    <mergeCell ref="Y56:AA56"/>
    <mergeCell ref="Y57:AA57"/>
    <mergeCell ref="AH56:AJ56"/>
    <mergeCell ref="AC65:AE65"/>
    <mergeCell ref="AC66:AE66"/>
    <mergeCell ref="AH65:AJ65"/>
    <mergeCell ref="AH66:AJ66"/>
    <mergeCell ref="AH57:AJ57"/>
    <mergeCell ref="F57:H57"/>
    <mergeCell ref="O56:Q56"/>
    <mergeCell ref="R153:U153"/>
    <mergeCell ref="Y55:AB55"/>
    <mergeCell ref="N113:V113"/>
    <mergeCell ref="O66:Q66"/>
    <mergeCell ref="X120:AA120"/>
    <mergeCell ref="D109:Z109"/>
    <mergeCell ref="C116:D116"/>
    <mergeCell ref="N115:Q115"/>
    <mergeCell ref="I116:L116"/>
    <mergeCell ref="S115:V115"/>
    <mergeCell ref="S116:V116"/>
    <mergeCell ref="N120:Q120"/>
    <mergeCell ref="I118:L118"/>
    <mergeCell ref="N116:Q116"/>
    <mergeCell ref="B153:H153"/>
    <mergeCell ref="J66:L66"/>
    <mergeCell ref="C126:D126"/>
    <mergeCell ref="M104:P104"/>
    <mergeCell ref="C127:D127"/>
    <mergeCell ref="Y71:AB71"/>
    <mergeCell ref="Y72:AA72"/>
    <mergeCell ref="Y73:AA73"/>
    <mergeCell ref="G103:J103"/>
    <mergeCell ref="C122:D122"/>
    <mergeCell ref="F149:V149"/>
    <mergeCell ref="G104:J104"/>
    <mergeCell ref="N117:Q117"/>
    <mergeCell ref="C117:D117"/>
    <mergeCell ref="C118:D118"/>
    <mergeCell ref="N32:P32"/>
    <mergeCell ref="I37:K37"/>
    <mergeCell ref="N37:P37"/>
    <mergeCell ref="M90:P90"/>
    <mergeCell ref="M91:P91"/>
    <mergeCell ref="V103:X103"/>
    <mergeCell ref="F145:V145"/>
    <mergeCell ref="F146:V146"/>
    <mergeCell ref="S125:V125"/>
    <mergeCell ref="F140:V140"/>
    <mergeCell ref="B102:D102"/>
    <mergeCell ref="B103:D103"/>
    <mergeCell ref="M102:P102"/>
    <mergeCell ref="I117:L117"/>
    <mergeCell ref="F142:V142"/>
    <mergeCell ref="V99:X99"/>
    <mergeCell ref="J80:L80"/>
    <mergeCell ref="AE142:AI142"/>
    <mergeCell ref="F150:V150"/>
    <mergeCell ref="X123:AA123"/>
    <mergeCell ref="S1:AL4"/>
    <mergeCell ref="O71:R71"/>
    <mergeCell ref="E71:H71"/>
    <mergeCell ref="D154:Z154"/>
    <mergeCell ref="AG154:AK154"/>
    <mergeCell ref="I76:L76"/>
    <mergeCell ref="I77:L77"/>
    <mergeCell ref="AD76:AG76"/>
    <mergeCell ref="AD77:AG77"/>
    <mergeCell ref="AC125:AF125"/>
    <mergeCell ref="AC126:AF126"/>
    <mergeCell ref="AC127:AF127"/>
    <mergeCell ref="AH122:AK122"/>
    <mergeCell ref="AH123:AK123"/>
    <mergeCell ref="AH124:AK124"/>
    <mergeCell ref="AH125:AK125"/>
    <mergeCell ref="AH126:AK126"/>
    <mergeCell ref="AH127:AK127"/>
    <mergeCell ref="AG61:AK61"/>
    <mergeCell ref="AG62:AK62"/>
    <mergeCell ref="G89:J89"/>
    <mergeCell ref="S114:V114"/>
    <mergeCell ref="X114:AA114"/>
    <mergeCell ref="S124:V124"/>
    <mergeCell ref="AG155:AK155"/>
    <mergeCell ref="S121:V121"/>
    <mergeCell ref="N127:Q127"/>
    <mergeCell ref="I122:L122"/>
    <mergeCell ref="I123:L123"/>
    <mergeCell ref="S122:V122"/>
    <mergeCell ref="S123:V123"/>
    <mergeCell ref="X124:AA124"/>
    <mergeCell ref="X125:AA125"/>
    <mergeCell ref="X126:AA126"/>
    <mergeCell ref="I124:L124"/>
    <mergeCell ref="N121:Q121"/>
    <mergeCell ref="I121:L121"/>
    <mergeCell ref="X121:AA121"/>
    <mergeCell ref="X122:AA122"/>
    <mergeCell ref="I126:L126"/>
    <mergeCell ref="N122:Q122"/>
    <mergeCell ref="N123:Q123"/>
    <mergeCell ref="F147:V147"/>
    <mergeCell ref="F139:V139"/>
    <mergeCell ref="AE150:AI150"/>
    <mergeCell ref="C123:D123"/>
    <mergeCell ref="C124:D124"/>
    <mergeCell ref="AG101:AJ101"/>
    <mergeCell ref="C125:D125"/>
    <mergeCell ref="X119:AA119"/>
    <mergeCell ref="X118:AA118"/>
    <mergeCell ref="AG110:AK110"/>
    <mergeCell ref="AA102:AD102"/>
    <mergeCell ref="M103:P103"/>
    <mergeCell ref="B104:D104"/>
    <mergeCell ref="G102:J102"/>
    <mergeCell ref="AG109:AK109"/>
    <mergeCell ref="AH120:AK120"/>
    <mergeCell ref="AH116:AK116"/>
    <mergeCell ref="V102:X102"/>
    <mergeCell ref="AC118:AF118"/>
    <mergeCell ref="I115:L115"/>
    <mergeCell ref="C115:D115"/>
    <mergeCell ref="V104:X104"/>
    <mergeCell ref="AA104:AD104"/>
    <mergeCell ref="AC115:AF115"/>
    <mergeCell ref="AC116:AF116"/>
    <mergeCell ref="N118:Q118"/>
    <mergeCell ref="AC117:AF117"/>
    <mergeCell ref="Z141:AC141"/>
    <mergeCell ref="AH141:AK141"/>
    <mergeCell ref="AC123:AF123"/>
    <mergeCell ref="N124:Q124"/>
    <mergeCell ref="N125:Q125"/>
    <mergeCell ref="M101:P101"/>
    <mergeCell ref="I127:L127"/>
    <mergeCell ref="AG102:AJ102"/>
    <mergeCell ref="I120:L120"/>
    <mergeCell ref="N119:Q119"/>
    <mergeCell ref="S117:V117"/>
    <mergeCell ref="S118:V118"/>
    <mergeCell ref="S119:V119"/>
    <mergeCell ref="S120:V120"/>
    <mergeCell ref="AH118:AK118"/>
    <mergeCell ref="AH119:AK119"/>
    <mergeCell ref="I119:L119"/>
    <mergeCell ref="N126:Q126"/>
    <mergeCell ref="S126:V126"/>
    <mergeCell ref="S127:V127"/>
    <mergeCell ref="G101:J101"/>
    <mergeCell ref="A112:AL112"/>
    <mergeCell ref="X117:AA117"/>
    <mergeCell ref="AA103:AD103"/>
    <mergeCell ref="AG96:AJ96"/>
    <mergeCell ref="AG99:AJ99"/>
    <mergeCell ref="AG98:AJ98"/>
    <mergeCell ref="B85:D85"/>
    <mergeCell ref="M86:P86"/>
    <mergeCell ref="M87:P87"/>
    <mergeCell ref="B157:AK160"/>
    <mergeCell ref="AG104:AJ104"/>
    <mergeCell ref="AG103:AJ103"/>
    <mergeCell ref="AC121:AF121"/>
    <mergeCell ref="F141:V141"/>
    <mergeCell ref="I125:L125"/>
    <mergeCell ref="AC114:AF114"/>
    <mergeCell ref="AH121:AK121"/>
    <mergeCell ref="AC119:AF119"/>
    <mergeCell ref="AC120:AF120"/>
    <mergeCell ref="AH117:AK117"/>
    <mergeCell ref="X127:AA127"/>
    <mergeCell ref="AC124:AF124"/>
    <mergeCell ref="B130:AK136"/>
    <mergeCell ref="I114:L114"/>
    <mergeCell ref="N114:Q114"/>
    <mergeCell ref="C119:D119"/>
    <mergeCell ref="C120:D120"/>
    <mergeCell ref="M96:P96"/>
    <mergeCell ref="V88:X88"/>
    <mergeCell ref="M88:P88"/>
    <mergeCell ref="V89:X89"/>
    <mergeCell ref="V90:X90"/>
    <mergeCell ref="V100:X100"/>
    <mergeCell ref="AA101:AD101"/>
    <mergeCell ref="V91:X91"/>
    <mergeCell ref="V92:X92"/>
    <mergeCell ref="V93:X93"/>
    <mergeCell ref="AA97:AD97"/>
    <mergeCell ref="AA96:AD96"/>
    <mergeCell ref="AA100:AD100"/>
    <mergeCell ref="AA90:AD90"/>
    <mergeCell ref="AA89:AD89"/>
    <mergeCell ref="AA88:AD88"/>
    <mergeCell ref="AA93:AD93"/>
    <mergeCell ref="AA92:AD92"/>
    <mergeCell ref="AA91:AD91"/>
    <mergeCell ref="AA98:AD98"/>
    <mergeCell ref="AG92:AJ92"/>
    <mergeCell ref="O72:Q72"/>
    <mergeCell ref="O73:Q73"/>
    <mergeCell ref="V94:X94"/>
    <mergeCell ref="V95:X95"/>
    <mergeCell ref="AD80:AF80"/>
    <mergeCell ref="M92:P92"/>
    <mergeCell ref="M89:P89"/>
    <mergeCell ref="V85:X85"/>
    <mergeCell ref="AG94:AJ94"/>
    <mergeCell ref="AG95:AJ95"/>
    <mergeCell ref="V87:X87"/>
    <mergeCell ref="M94:P94"/>
    <mergeCell ref="AA85:AD85"/>
    <mergeCell ref="AG85:AJ85"/>
    <mergeCell ref="AG86:AJ86"/>
    <mergeCell ref="AG87:AJ87"/>
    <mergeCell ref="AG88:AJ88"/>
    <mergeCell ref="AA87:AD87"/>
    <mergeCell ref="AA86:AD86"/>
    <mergeCell ref="AG89:AJ89"/>
    <mergeCell ref="AG90:AJ90"/>
    <mergeCell ref="AG91:AJ91"/>
    <mergeCell ref="M93:P93"/>
    <mergeCell ref="F42:I42"/>
    <mergeCell ref="O42:Q42"/>
    <mergeCell ref="V96:X96"/>
    <mergeCell ref="AA84:AD84"/>
    <mergeCell ref="V86:X86"/>
    <mergeCell ref="AG93:AJ93"/>
    <mergeCell ref="AH72:AJ72"/>
    <mergeCell ref="AH73:AJ73"/>
    <mergeCell ref="I30:K30"/>
    <mergeCell ref="I31:K31"/>
    <mergeCell ref="I38:K38"/>
    <mergeCell ref="I32:K32"/>
    <mergeCell ref="N30:P30"/>
    <mergeCell ref="N31:P31"/>
    <mergeCell ref="G90:J90"/>
    <mergeCell ref="G91:J91"/>
    <mergeCell ref="G92:J92"/>
    <mergeCell ref="F52:H52"/>
    <mergeCell ref="O52:Q52"/>
    <mergeCell ref="F55:I55"/>
    <mergeCell ref="O55:Q55"/>
    <mergeCell ref="F56:H56"/>
    <mergeCell ref="G85:J85"/>
    <mergeCell ref="G86:J86"/>
    <mergeCell ref="F50:H50"/>
    <mergeCell ref="F51:H51"/>
    <mergeCell ref="O51:Q51"/>
    <mergeCell ref="O43:Q43"/>
    <mergeCell ref="M100:P100"/>
    <mergeCell ref="G84:J84"/>
    <mergeCell ref="X115:AA115"/>
    <mergeCell ref="G87:J87"/>
    <mergeCell ref="G88:J88"/>
    <mergeCell ref="O57:Q57"/>
    <mergeCell ref="J65:L65"/>
    <mergeCell ref="O65:Q65"/>
    <mergeCell ref="D61:Z61"/>
    <mergeCell ref="G99:J99"/>
    <mergeCell ref="G100:J100"/>
    <mergeCell ref="M98:P98"/>
    <mergeCell ref="M99:P99"/>
    <mergeCell ref="AA95:AD95"/>
    <mergeCell ref="AA94:AD94"/>
    <mergeCell ref="M95:P95"/>
    <mergeCell ref="V97:X97"/>
    <mergeCell ref="V98:X98"/>
    <mergeCell ref="V101:X101"/>
    <mergeCell ref="M97:P97"/>
    <mergeCell ref="X116:AA116"/>
    <mergeCell ref="AH114:AK114"/>
    <mergeCell ref="AH115:AK115"/>
    <mergeCell ref="E72:G72"/>
    <mergeCell ref="E73:G73"/>
    <mergeCell ref="B89:D89"/>
    <mergeCell ref="AF14:AK14"/>
    <mergeCell ref="AF15:AK15"/>
    <mergeCell ref="AF16:AK16"/>
    <mergeCell ref="B94:D94"/>
    <mergeCell ref="B95:D95"/>
    <mergeCell ref="B101:D101"/>
    <mergeCell ref="G97:J97"/>
    <mergeCell ref="G93:J93"/>
    <mergeCell ref="G94:J94"/>
    <mergeCell ref="G95:J95"/>
    <mergeCell ref="G96:J96"/>
    <mergeCell ref="B96:D96"/>
    <mergeCell ref="B97:D97"/>
    <mergeCell ref="B98:D98"/>
    <mergeCell ref="B99:D99"/>
    <mergeCell ref="B100:D100"/>
    <mergeCell ref="G98:J98"/>
    <mergeCell ref="AA99:AD99"/>
    <mergeCell ref="BI1:CA4"/>
    <mergeCell ref="AS6:BD7"/>
    <mergeCell ref="H7:W7"/>
    <mergeCell ref="H11:AI11"/>
    <mergeCell ref="A82:AL82"/>
    <mergeCell ref="B90:D90"/>
    <mergeCell ref="B91:D91"/>
    <mergeCell ref="B92:D92"/>
    <mergeCell ref="B93:D93"/>
    <mergeCell ref="A20:AL20"/>
    <mergeCell ref="A68:AL68"/>
    <mergeCell ref="A75:AL75"/>
    <mergeCell ref="A79:AL79"/>
    <mergeCell ref="B86:D86"/>
    <mergeCell ref="B87:D87"/>
    <mergeCell ref="B88:D88"/>
    <mergeCell ref="F49:I49"/>
    <mergeCell ref="O49:Q49"/>
    <mergeCell ref="E15:Z15"/>
    <mergeCell ref="N23:P23"/>
    <mergeCell ref="E16:Z16"/>
    <mergeCell ref="F35:I35"/>
    <mergeCell ref="N38:P38"/>
    <mergeCell ref="N27:R27"/>
  </mergeCells>
  <conditionalFormatting sqref="B130:AK136">
    <cfRule type="cellIs" priority="7" stopIfTrue="1" operator="greaterThan">
      <formula>0</formula>
    </cfRule>
    <cfRule type="expression" dxfId="134" priority="8">
      <formula>$AM$175&gt;0</formula>
    </cfRule>
  </conditionalFormatting>
  <conditionalFormatting sqref="D61:Z61">
    <cfRule type="cellIs" dxfId="133" priority="239" operator="equal">
      <formula>0</formula>
    </cfRule>
  </conditionalFormatting>
  <conditionalFormatting sqref="D109:Z109">
    <cfRule type="cellIs" dxfId="132" priority="237" operator="equal">
      <formula>0</formula>
    </cfRule>
  </conditionalFormatting>
  <conditionalFormatting sqref="D154:Z154">
    <cfRule type="cellIs" dxfId="131" priority="232" operator="equal">
      <formula>0</formula>
    </cfRule>
  </conditionalFormatting>
  <conditionalFormatting sqref="E161:E162">
    <cfRule type="expression" dxfId="130" priority="4">
      <formula>ISBLANK(E161)</formula>
    </cfRule>
  </conditionalFormatting>
  <conditionalFormatting sqref="E163:Y163 E164:E166">
    <cfRule type="expression" dxfId="129" priority="2">
      <formula>ISBLANK(E163)</formula>
    </cfRule>
  </conditionalFormatting>
  <conditionalFormatting sqref="E15:Z16 AF16">
    <cfRule type="cellIs" dxfId="128" priority="226" operator="equal">
      <formula>0</formula>
    </cfRule>
  </conditionalFormatting>
  <conditionalFormatting sqref="F139:F142 Z141 AH141">
    <cfRule type="expression" dxfId="127" priority="249">
      <formula>ISBLANK(F139)</formula>
    </cfRule>
  </conditionalFormatting>
  <conditionalFormatting sqref="F145:F147 Z147 AH147 F149:F150 AE149:AE150">
    <cfRule type="expression" dxfId="126" priority="335">
      <formula>ISBLANK(F145)</formula>
    </cfRule>
    <cfRule type="expression" priority="247" stopIfTrue="1">
      <formula>$AM$144=2</formula>
    </cfRule>
  </conditionalFormatting>
  <conditionalFormatting sqref="G18 N18 Z18 AH18">
    <cfRule type="expression" dxfId="125" priority="245">
      <formula>ISBLANK(G18)</formula>
    </cfRule>
  </conditionalFormatting>
  <conditionalFormatting sqref="I122:I127">
    <cfRule type="expression" dxfId="124" priority="399" stopIfTrue="1">
      <formula>ISBLANK(I122)</formula>
    </cfRule>
    <cfRule type="cellIs" dxfId="123" priority="400" operator="notEqual">
      <formula>$I115</formula>
    </cfRule>
  </conditionalFormatting>
  <conditionalFormatting sqref="N115:N120">
    <cfRule type="expression" dxfId="122" priority="1034">
      <formula>ISBLANK(N115)</formula>
    </cfRule>
  </conditionalFormatting>
  <conditionalFormatting sqref="N122:N127">
    <cfRule type="expression" dxfId="121" priority="393" stopIfTrue="1">
      <formula>ISBLANK(N122)</formula>
    </cfRule>
    <cfRule type="cellIs" dxfId="120" priority="394" operator="notEqual">
      <formula>$N115</formula>
    </cfRule>
  </conditionalFormatting>
  <conditionalFormatting sqref="O164 W164">
    <cfRule type="expression" dxfId="119" priority="1">
      <formula>ISBLANK(O164)</formula>
    </cfRule>
  </conditionalFormatting>
  <conditionalFormatting sqref="S115:S120 X115:X120 AC115:AC120">
    <cfRule type="expression" dxfId="118" priority="334">
      <formula>ISBLANK(S115)</formula>
    </cfRule>
  </conditionalFormatting>
  <conditionalFormatting sqref="S122:S127 X122:X127 AC122:AC127">
    <cfRule type="expression" dxfId="117" priority="13" stopIfTrue="1">
      <formula>ISBLANK(S122)</formula>
    </cfRule>
  </conditionalFormatting>
  <conditionalFormatting sqref="V85:X85">
    <cfRule type="expression" dxfId="116" priority="9">
      <formula>ISBLANK($V$85)</formula>
    </cfRule>
  </conditionalFormatting>
  <conditionalFormatting sqref="X122:X126">
    <cfRule type="cellIs" dxfId="115" priority="392" operator="greaterThan">
      <formula>$Y$73</formula>
    </cfRule>
  </conditionalFormatting>
  <conditionalFormatting sqref="X122:AA126">
    <cfRule type="expression" priority="244" stopIfTrue="1">
      <formula>$AQ$70=1</formula>
    </cfRule>
  </conditionalFormatting>
  <conditionalFormatting sqref="Y27 AB27">
    <cfRule type="expression" priority="182" stopIfTrue="1">
      <formula>$AM$27=2</formula>
    </cfRule>
    <cfRule type="expression" dxfId="114" priority="183">
      <formula>ISBLANK(AB27)</formula>
    </cfRule>
    <cfRule type="cellIs" priority="181" stopIfTrue="1" operator="greaterThan">
      <formula>0</formula>
    </cfRule>
  </conditionalFormatting>
  <conditionalFormatting sqref="Y55 AH55 AC65:AE66 AH65:AJ66">
    <cfRule type="expression" dxfId="113" priority="31">
      <formula>ISBLANK(Y55)</formula>
    </cfRule>
  </conditionalFormatting>
  <conditionalFormatting sqref="Y50:AA50">
    <cfRule type="expression" priority="40" stopIfTrue="1">
      <formula>$AM$51=2</formula>
    </cfRule>
    <cfRule type="cellIs" priority="41" stopIfTrue="1" operator="greaterThan">
      <formula>0</formula>
    </cfRule>
    <cfRule type="expression" dxfId="112" priority="42">
      <formula>ISBLANK(Y50)</formula>
    </cfRule>
  </conditionalFormatting>
  <conditionalFormatting sqref="Y50:AA52 AH51:AJ52">
    <cfRule type="expression" priority="32" stopIfTrue="1">
      <formula>$AM$45=2</formula>
    </cfRule>
  </conditionalFormatting>
  <conditionalFormatting sqref="Y51:AA51 AH51:AJ51">
    <cfRule type="expression" priority="36" stopIfTrue="1">
      <formula>$AM$50=2</formula>
    </cfRule>
    <cfRule type="cellIs" priority="37" stopIfTrue="1" operator="greaterThan">
      <formula>0</formula>
    </cfRule>
    <cfRule type="expression" dxfId="111" priority="38">
      <formula>ISBLANK(Y51)</formula>
    </cfRule>
  </conditionalFormatting>
  <conditionalFormatting sqref="Y52:AA52 AH52:AJ52">
    <cfRule type="cellIs" priority="33" stopIfTrue="1" operator="greaterThan">
      <formula>0</formula>
    </cfRule>
    <cfRule type="expression" dxfId="110" priority="34">
      <formula>ISBLANK(Y52)</formula>
    </cfRule>
  </conditionalFormatting>
  <conditionalFormatting sqref="Y56:AA56">
    <cfRule type="expression" priority="27" stopIfTrue="1">
      <formula>$AM$57=2</formula>
    </cfRule>
    <cfRule type="cellIs" priority="28" stopIfTrue="1" operator="greaterThan">
      <formula>0</formula>
    </cfRule>
    <cfRule type="expression" dxfId="109" priority="29">
      <formula>ISBLANK(Y56)</formula>
    </cfRule>
  </conditionalFormatting>
  <conditionalFormatting sqref="Y57:AA57 AH57:AJ57">
    <cfRule type="expression" priority="24" stopIfTrue="1">
      <formula>$AM$56=2</formula>
    </cfRule>
  </conditionalFormatting>
  <conditionalFormatting sqref="Y35:AB35 AB37:AD38 AG37:AI38">
    <cfRule type="expression" dxfId="108" priority="62">
      <formula>ISBLANK(Y35)</formula>
    </cfRule>
    <cfRule type="expression" priority="61" stopIfTrue="1">
      <formula>$AM$34=2</formula>
    </cfRule>
    <cfRule type="cellIs" priority="60" stopIfTrue="1" operator="greaterThan">
      <formula>0</formula>
    </cfRule>
  </conditionalFormatting>
  <conditionalFormatting sqref="Y42:AB42 AG42:AI43">
    <cfRule type="expression" dxfId="107" priority="55">
      <formula>ISBLANK(Y42)</formula>
    </cfRule>
    <cfRule type="cellIs" priority="53" stopIfTrue="1" operator="greaterThan">
      <formula>0</formula>
    </cfRule>
    <cfRule type="expression" priority="54" stopIfTrue="1">
      <formula>$AM$40=2</formula>
    </cfRule>
  </conditionalFormatting>
  <conditionalFormatting sqref="Y49:AB49 AH49:AJ49">
    <cfRule type="expression" priority="43" stopIfTrue="1">
      <formula>$AM$45=2</formula>
    </cfRule>
    <cfRule type="cellIs" priority="44" stopIfTrue="1" operator="greaterThan">
      <formula>0</formula>
    </cfRule>
    <cfRule type="expression" dxfId="106" priority="45">
      <formula>ISBLANK(AA49)</formula>
    </cfRule>
  </conditionalFormatting>
  <conditionalFormatting sqref="Y71:AB71 AH71:AK71 Y72:AA73 AH72:AJ73">
    <cfRule type="expression" priority="16" stopIfTrue="1">
      <formula>$AN$70=2</formula>
    </cfRule>
    <cfRule type="cellIs" priority="17" stopIfTrue="1" operator="greaterThan">
      <formula>0</formula>
    </cfRule>
    <cfRule type="expression" dxfId="105" priority="18">
      <formula>ISBLANK(Y71)</formula>
    </cfRule>
  </conditionalFormatting>
  <conditionalFormatting sqref="Z70 AC70">
    <cfRule type="expression" dxfId="104" priority="21">
      <formula>ISBLANK(Z70)</formula>
    </cfRule>
    <cfRule type="cellIs" priority="20" stopIfTrue="1" operator="greaterThan">
      <formula>0</formula>
    </cfRule>
    <cfRule type="expression" priority="19" stopIfTrue="1">
      <formula>$AM$70=2</formula>
    </cfRule>
  </conditionalFormatting>
  <conditionalFormatting sqref="AA85">
    <cfRule type="expression" priority="243" stopIfTrue="1">
      <formula>$AM$85=1</formula>
    </cfRule>
    <cfRule type="expression" dxfId="103" priority="306">
      <formula>$AP$85=2</formula>
    </cfRule>
  </conditionalFormatting>
  <conditionalFormatting sqref="AA85:AA104">
    <cfRule type="cellIs" priority="251" stopIfTrue="1" operator="greaterThan">
      <formula>0</formula>
    </cfRule>
  </conditionalFormatting>
  <conditionalFormatting sqref="AA86 AG86">
    <cfRule type="expression" dxfId="102" priority="288">
      <formula>$AP$86=2</formula>
    </cfRule>
  </conditionalFormatting>
  <conditionalFormatting sqref="AA87 AG87">
    <cfRule type="expression" dxfId="101" priority="286">
      <formula>$AP$87=2</formula>
    </cfRule>
  </conditionalFormatting>
  <conditionalFormatting sqref="AA88 AG88">
    <cfRule type="expression" dxfId="100" priority="284">
      <formula>$AP$88=2</formula>
    </cfRule>
  </conditionalFormatting>
  <conditionalFormatting sqref="AA89">
    <cfRule type="expression" dxfId="99" priority="304">
      <formula>$AP$89=2</formula>
    </cfRule>
  </conditionalFormatting>
  <conditionalFormatting sqref="AA90">
    <cfRule type="expression" dxfId="98" priority="302">
      <formula>$AP$90=2</formula>
    </cfRule>
  </conditionalFormatting>
  <conditionalFormatting sqref="AA91 AG91">
    <cfRule type="expression" dxfId="97" priority="278">
      <formula>$AP$91=2</formula>
    </cfRule>
  </conditionalFormatting>
  <conditionalFormatting sqref="AA92">
    <cfRule type="expression" dxfId="96" priority="298">
      <formula>$AP$92=2</formula>
    </cfRule>
  </conditionalFormatting>
  <conditionalFormatting sqref="AA93">
    <cfRule type="expression" dxfId="95" priority="296">
      <formula>$AP$93=2</formula>
    </cfRule>
  </conditionalFormatting>
  <conditionalFormatting sqref="AA94">
    <cfRule type="expression" dxfId="94" priority="294">
      <formula>$AP$94=2</formula>
    </cfRule>
  </conditionalFormatting>
  <conditionalFormatting sqref="AA95">
    <cfRule type="expression" dxfId="93" priority="292">
      <formula>$AP$95=2</formula>
    </cfRule>
  </conditionalFormatting>
  <conditionalFormatting sqref="AA96 AG96">
    <cfRule type="expression" dxfId="92" priority="268">
      <formula>$AP$96=2</formula>
    </cfRule>
  </conditionalFormatting>
  <conditionalFormatting sqref="AA97 AG97">
    <cfRule type="expression" dxfId="91" priority="266">
      <formula>$AP$97=2</formula>
    </cfRule>
  </conditionalFormatting>
  <conditionalFormatting sqref="AA98 AG98">
    <cfRule type="expression" dxfId="90" priority="264">
      <formula>$AP$98=2</formula>
    </cfRule>
  </conditionalFormatting>
  <conditionalFormatting sqref="AA99 AG99">
    <cfRule type="expression" dxfId="89" priority="262">
      <formula>$AP$99=2</formula>
    </cfRule>
  </conditionalFormatting>
  <conditionalFormatting sqref="AA100 AG100">
    <cfRule type="expression" dxfId="88" priority="260">
      <formula>$AP$100=2</formula>
    </cfRule>
  </conditionalFormatting>
  <conditionalFormatting sqref="AA101 AG101">
    <cfRule type="expression" dxfId="87" priority="258">
      <formula>$AP$101=2</formula>
    </cfRule>
  </conditionalFormatting>
  <conditionalFormatting sqref="AA102 AG102">
    <cfRule type="expression" dxfId="86" priority="256">
      <formula>$AP$102=2</formula>
    </cfRule>
  </conditionalFormatting>
  <conditionalFormatting sqref="AA103 AG103">
    <cfRule type="expression" dxfId="85" priority="254">
      <formula>$AP$103=2</formula>
    </cfRule>
  </conditionalFormatting>
  <conditionalFormatting sqref="AA104 AG104">
    <cfRule type="expression" dxfId="84" priority="252">
      <formula>$AP$104=2</formula>
    </cfRule>
  </conditionalFormatting>
  <conditionalFormatting sqref="AB30:AD32 AG30:AI32">
    <cfRule type="expression" dxfId="83" priority="173">
      <formula>ISBLANK(AG30)</formula>
    </cfRule>
    <cfRule type="cellIs" priority="172" stopIfTrue="1" operator="greaterThan">
      <formula>0</formula>
    </cfRule>
  </conditionalFormatting>
  <conditionalFormatting sqref="AC115:AC120">
    <cfRule type="cellIs" dxfId="82" priority="337" operator="greaterThan">
      <formula>6</formula>
    </cfRule>
  </conditionalFormatting>
  <conditionalFormatting sqref="AC122:AC127">
    <cfRule type="cellIs" dxfId="81" priority="329" operator="greaterThan">
      <formula>$AP$117</formula>
    </cfRule>
  </conditionalFormatting>
  <conditionalFormatting sqref="AC168">
    <cfRule type="expression" dxfId="80" priority="3">
      <formula>ISBLANK(AC168)</formula>
    </cfRule>
  </conditionalFormatting>
  <conditionalFormatting sqref="AD34">
    <cfRule type="expression" dxfId="79" priority="64">
      <formula>ISBLANK(AD34)</formula>
    </cfRule>
    <cfRule type="cellIs" priority="59" stopIfTrue="1" operator="greaterThan">
      <formula>0</formula>
    </cfRule>
    <cfRule type="expression" priority="63" stopIfTrue="1">
      <formula>$AM$35=2</formula>
    </cfRule>
  </conditionalFormatting>
  <conditionalFormatting sqref="AD40">
    <cfRule type="expression" dxfId="78" priority="58">
      <formula>ISBLANK(AD40)</formula>
    </cfRule>
    <cfRule type="cellIs" priority="56" stopIfTrue="1" operator="greaterThan">
      <formula>0</formula>
    </cfRule>
    <cfRule type="expression" priority="57" stopIfTrue="1">
      <formula>$AM$42=2</formula>
    </cfRule>
  </conditionalFormatting>
  <conditionalFormatting sqref="AD45">
    <cfRule type="expression" priority="51" stopIfTrue="1">
      <formula>$AM$49=2</formula>
    </cfRule>
    <cfRule type="cellIs" priority="50" stopIfTrue="1" operator="greaterThan">
      <formula>0</formula>
    </cfRule>
    <cfRule type="expression" dxfId="77" priority="52">
      <formula>ISBLANK(AD45)</formula>
    </cfRule>
  </conditionalFormatting>
  <conditionalFormatting sqref="AD76:AD77">
    <cfRule type="expression" dxfId="76" priority="330">
      <formula>ISBLANK(AD76)</formula>
    </cfRule>
  </conditionalFormatting>
  <conditionalFormatting sqref="AD80">
    <cfRule type="cellIs" dxfId="75" priority="390" operator="lessThan">
      <formula>$J80</formula>
    </cfRule>
    <cfRule type="expression" dxfId="74" priority="389">
      <formula>ISBLANK(AD80)</formula>
    </cfRule>
  </conditionalFormatting>
  <conditionalFormatting sqref="AD144">
    <cfRule type="expression" priority="12" stopIfTrue="1">
      <formula>$AM$145=2</formula>
    </cfRule>
    <cfRule type="expression" dxfId="73" priority="250">
      <formula>ISBLANK(AD144)</formula>
    </cfRule>
  </conditionalFormatting>
  <conditionalFormatting sqref="AE142:AI142">
    <cfRule type="expression" dxfId="72" priority="248">
      <formula>ISBLANK(AE142)</formula>
    </cfRule>
  </conditionalFormatting>
  <conditionalFormatting sqref="AF14:AF15">
    <cfRule type="expression" dxfId="71" priority="6">
      <formula>ISBLANK(AF14)</formula>
    </cfRule>
  </conditionalFormatting>
  <conditionalFormatting sqref="AF14:AK14">
    <cfRule type="expression" priority="5" stopIfTrue="1">
      <formula>$AM$14=0</formula>
    </cfRule>
  </conditionalFormatting>
  <conditionalFormatting sqref="AG22:AG23">
    <cfRule type="expression" dxfId="70" priority="146">
      <formula>ISBLANK(AG22)</formula>
    </cfRule>
  </conditionalFormatting>
  <conditionalFormatting sqref="AG23">
    <cfRule type="cellIs" priority="145" stopIfTrue="1" operator="greaterThan">
      <formula>0</formula>
    </cfRule>
  </conditionalFormatting>
  <conditionalFormatting sqref="AG25 AJ25">
    <cfRule type="expression" dxfId="69" priority="66">
      <formula>ISBLANK(AG25)</formula>
    </cfRule>
    <cfRule type="expression" priority="65" stopIfTrue="1">
      <formula>$AM$25=2</formula>
    </cfRule>
  </conditionalFormatting>
  <conditionalFormatting sqref="AG47 AJ47">
    <cfRule type="expression" priority="46" stopIfTrue="1">
      <formula>$AM$45=2</formula>
    </cfRule>
    <cfRule type="expression" dxfId="68" priority="49">
      <formula>ISBLANK(AG47)</formula>
    </cfRule>
    <cfRule type="expression" priority="48" stopIfTrue="1">
      <formula>$AM$47=2</formula>
    </cfRule>
    <cfRule type="cellIs" priority="47" stopIfTrue="1" operator="greaterThan">
      <formula>0</formula>
    </cfRule>
  </conditionalFormatting>
  <conditionalFormatting sqref="AG85">
    <cfRule type="expression" priority="289" stopIfTrue="1">
      <formula>$AN$85=1</formula>
    </cfRule>
    <cfRule type="expression" dxfId="67" priority="340">
      <formula>$AP$85=2</formula>
    </cfRule>
  </conditionalFormatting>
  <conditionalFormatting sqref="AG85:AG104">
    <cfRule type="cellIs" priority="242" stopIfTrue="1" operator="greaterThan">
      <formula>0</formula>
    </cfRule>
  </conditionalFormatting>
  <conditionalFormatting sqref="AG89">
    <cfRule type="expression" dxfId="66" priority="282">
      <formula>$AP$89=2</formula>
    </cfRule>
  </conditionalFormatting>
  <conditionalFormatting sqref="AG90">
    <cfRule type="expression" dxfId="65" priority="280">
      <formula>$AP$90=2</formula>
    </cfRule>
  </conditionalFormatting>
  <conditionalFormatting sqref="AG92">
    <cfRule type="expression" dxfId="64" priority="276">
      <formula>$AP$92=2</formula>
    </cfRule>
  </conditionalFormatting>
  <conditionalFormatting sqref="AG93">
    <cfRule type="expression" dxfId="63" priority="274">
      <formula>$AP$93=2</formula>
    </cfRule>
  </conditionalFormatting>
  <conditionalFormatting sqref="AG94">
    <cfRule type="expression" dxfId="62" priority="272">
      <formula>$AP$94=2</formula>
    </cfRule>
  </conditionalFormatting>
  <conditionalFormatting sqref="AG95">
    <cfRule type="expression" dxfId="61" priority="270">
      <formula>$AP$95=2</formula>
    </cfRule>
  </conditionalFormatting>
  <conditionalFormatting sqref="AG27:AK27">
    <cfRule type="expression" dxfId="60" priority="180">
      <formula>$AN$27=2</formula>
    </cfRule>
    <cfRule type="cellIs" priority="179" stopIfTrue="1" operator="greaterThan">
      <formula>0</formula>
    </cfRule>
  </conditionalFormatting>
  <conditionalFormatting sqref="AG61:AK62">
    <cfRule type="cellIs" dxfId="59" priority="225" operator="equal">
      <formula>0</formula>
    </cfRule>
  </conditionalFormatting>
  <conditionalFormatting sqref="AG109:AK110">
    <cfRule type="cellIs" dxfId="58" priority="224" operator="equal">
      <formula>0</formula>
    </cfRule>
  </conditionalFormatting>
  <conditionalFormatting sqref="AG154:AK155">
    <cfRule type="cellIs" dxfId="57" priority="213" operator="equal">
      <formula>0</formula>
    </cfRule>
  </conditionalFormatting>
  <conditionalFormatting sqref="AH115:AH120 AH122:AH127">
    <cfRule type="expression" dxfId="56" priority="395" stopIfTrue="1">
      <formula>ISBLANK(AH115)</formula>
    </cfRule>
  </conditionalFormatting>
  <conditionalFormatting sqref="AH115:AH120 AH123:AH127">
    <cfRule type="cellIs" dxfId="55" priority="396" operator="greaterThan">
      <formula>$I115</formula>
    </cfRule>
  </conditionalFormatting>
  <conditionalFormatting sqref="AH56:AJ57 Y57:AA57">
    <cfRule type="expression" dxfId="54" priority="26">
      <formula>ISBLANK(Y56)</formula>
    </cfRule>
    <cfRule type="cellIs" priority="25" stopIfTrue="1" operator="greaterThan">
      <formula>0</formula>
    </cfRule>
  </conditionalFormatting>
  <conditionalFormatting sqref="AH65:AJ65">
    <cfRule type="cellIs" dxfId="53" priority="15" operator="greaterThan">
      <formula>96</formula>
    </cfRule>
  </conditionalFormatting>
  <conditionalFormatting sqref="AH65:AJ66 Y55 AH55 AC65:AE66">
    <cfRule type="cellIs" priority="30" stopIfTrue="1" operator="greaterThan">
      <formula>0</formula>
    </cfRule>
  </conditionalFormatting>
  <conditionalFormatting sqref="AH66:AJ66">
    <cfRule type="cellIs" dxfId="52" priority="14" operator="greaterThan">
      <formula>12</formula>
    </cfRule>
  </conditionalFormatting>
  <pageMargins left="0.2" right="0.2" top="0.5" bottom="0.25" header="0.3" footer="0.3"/>
  <pageSetup orientation="portrait" r:id="rId1"/>
  <rowBreaks count="3" manualBreakCount="3">
    <brk id="60" max="16383" man="1"/>
    <brk id="108" max="16383" man="1"/>
    <brk id="153" max="16383" man="1"/>
  </rowBreaks>
  <colBreaks count="1" manualBreakCount="1">
    <brk id="43" max="1048575" man="1"/>
  </col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51C0DC14-5C5B-497E-ADE8-E14CEC9C6FC0}">
          <x14:formula1>
            <xm:f>Tables!$A$2:$A$10</xm:f>
          </x14:formula1>
          <xm:sqref>Y71 Y35 Y49 Y55 Y42</xm:sqref>
        </x14:dataValidation>
        <x14:dataValidation type="list" allowBlank="1" showInputMessage="1" showErrorMessage="1" xr:uid="{15328467-34E1-4429-BBED-E9EF3D4805F6}">
          <x14:formula1>
            <xm:f>Tables!$C$2:$C$7</xm:f>
          </x14:formula1>
          <xm:sqref>AH71 AH49 AH55 H61:H63 H67 W67:Y67 W61:Y62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D585-F4DB-4182-AFF1-408132D60B7F}">
  <sheetPr codeName="Sheet1">
    <tabColor theme="7" tint="0.39997558519241921"/>
  </sheetPr>
  <dimension ref="A1:BW205"/>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39" customWidth="1"/>
    <col min="2" max="36" width="2.77734375" style="39" customWidth="1"/>
    <col min="37" max="37" width="1.77734375" style="39" customWidth="1"/>
    <col min="38" max="38" width="4.77734375" style="39" customWidth="1"/>
    <col min="39" max="40" width="4.77734375" style="13" hidden="1" customWidth="1"/>
    <col min="41" max="75" width="2.77734375" style="39" customWidth="1"/>
    <col min="76" max="16384" width="2.77734375" style="39" hidden="1"/>
  </cols>
  <sheetData>
    <row r="1" spans="1:75" ht="15" customHeight="1" x14ac:dyDescent="0.3">
      <c r="G1" s="3"/>
      <c r="H1" s="3"/>
      <c r="I1" s="3"/>
      <c r="J1" s="3"/>
      <c r="K1" s="3"/>
      <c r="L1" s="3"/>
      <c r="M1" s="3"/>
      <c r="N1" s="3"/>
      <c r="O1" s="3"/>
      <c r="P1" s="3"/>
      <c r="Q1" s="148" t="s">
        <v>261</v>
      </c>
      <c r="R1" s="148"/>
      <c r="S1" s="148"/>
      <c r="T1" s="148"/>
      <c r="U1" s="148"/>
      <c r="V1" s="148"/>
      <c r="W1" s="148"/>
      <c r="X1" s="148"/>
      <c r="Y1" s="148"/>
      <c r="Z1" s="148"/>
      <c r="AA1" s="148"/>
      <c r="AB1" s="148"/>
      <c r="AC1" s="148"/>
      <c r="AD1" s="148"/>
      <c r="AE1" s="148"/>
      <c r="AF1" s="148"/>
      <c r="AG1" s="148"/>
      <c r="AH1" s="148"/>
      <c r="AI1" s="148"/>
      <c r="AJ1" s="148"/>
      <c r="AK1" s="148"/>
      <c r="BD1" s="148" t="str">
        <f>Q1</f>
        <v>Form 4D - Bioretention Area
Annual Inspection Form</v>
      </c>
      <c r="BE1" s="148"/>
      <c r="BF1" s="148"/>
      <c r="BG1" s="148"/>
      <c r="BH1" s="148"/>
      <c r="BI1" s="148"/>
      <c r="BJ1" s="148"/>
      <c r="BK1" s="148"/>
      <c r="BL1" s="148"/>
      <c r="BM1" s="148"/>
      <c r="BN1" s="148"/>
      <c r="BO1" s="148"/>
      <c r="BP1" s="148"/>
      <c r="BQ1" s="148"/>
      <c r="BR1" s="148"/>
      <c r="BS1" s="148"/>
      <c r="BT1" s="148"/>
      <c r="BU1" s="148"/>
      <c r="BV1" s="148"/>
    </row>
    <row r="2" spans="1:75" ht="15" customHeight="1" x14ac:dyDescent="0.3">
      <c r="E2" s="3"/>
      <c r="F2" s="3"/>
      <c r="G2" s="3"/>
      <c r="H2" s="3"/>
      <c r="I2" s="3"/>
      <c r="J2" s="3"/>
      <c r="K2" s="3"/>
      <c r="L2" s="3"/>
      <c r="M2" s="3"/>
      <c r="N2" s="3"/>
      <c r="O2" s="3"/>
      <c r="P2" s="3"/>
      <c r="Q2" s="148"/>
      <c r="R2" s="148"/>
      <c r="S2" s="148"/>
      <c r="T2" s="148"/>
      <c r="U2" s="148"/>
      <c r="V2" s="148"/>
      <c r="W2" s="148"/>
      <c r="X2" s="148"/>
      <c r="Y2" s="148"/>
      <c r="Z2" s="148"/>
      <c r="AA2" s="148"/>
      <c r="AB2" s="148"/>
      <c r="AC2" s="148"/>
      <c r="AD2" s="148"/>
      <c r="AE2" s="148"/>
      <c r="AF2" s="148"/>
      <c r="AG2" s="148"/>
      <c r="AH2" s="148"/>
      <c r="AI2" s="148"/>
      <c r="AJ2" s="148"/>
      <c r="AK2" s="148"/>
      <c r="BD2" s="148"/>
      <c r="BE2" s="148"/>
      <c r="BF2" s="148"/>
      <c r="BG2" s="148"/>
      <c r="BH2" s="148"/>
      <c r="BI2" s="148"/>
      <c r="BJ2" s="148"/>
      <c r="BK2" s="148"/>
      <c r="BL2" s="148"/>
      <c r="BM2" s="148"/>
      <c r="BN2" s="148"/>
      <c r="BO2" s="148"/>
      <c r="BP2" s="148"/>
      <c r="BQ2" s="148"/>
      <c r="BR2" s="148"/>
      <c r="BS2" s="148"/>
      <c r="BT2" s="148"/>
      <c r="BU2" s="148"/>
      <c r="BV2" s="148"/>
    </row>
    <row r="3" spans="1:75" ht="15" customHeight="1" x14ac:dyDescent="0.3">
      <c r="E3" s="3"/>
      <c r="F3" s="3"/>
      <c r="G3" s="3"/>
      <c r="H3" s="3"/>
      <c r="I3" s="3"/>
      <c r="J3" s="3"/>
      <c r="K3" s="3"/>
      <c r="L3" s="3"/>
      <c r="M3" s="3"/>
      <c r="N3" s="3"/>
      <c r="O3" s="3"/>
      <c r="P3" s="3"/>
      <c r="Q3" s="148"/>
      <c r="R3" s="148"/>
      <c r="S3" s="148"/>
      <c r="T3" s="148"/>
      <c r="U3" s="148"/>
      <c r="V3" s="148"/>
      <c r="W3" s="148"/>
      <c r="X3" s="148"/>
      <c r="Y3" s="148"/>
      <c r="Z3" s="148"/>
      <c r="AA3" s="148"/>
      <c r="AB3" s="148"/>
      <c r="AC3" s="148"/>
      <c r="AD3" s="148"/>
      <c r="AE3" s="148"/>
      <c r="AF3" s="148"/>
      <c r="AG3" s="148"/>
      <c r="AH3" s="148"/>
      <c r="AI3" s="148"/>
      <c r="AJ3" s="148"/>
      <c r="AK3" s="148"/>
      <c r="BD3" s="148"/>
      <c r="BE3" s="148"/>
      <c r="BF3" s="148"/>
      <c r="BG3" s="148"/>
      <c r="BH3" s="148"/>
      <c r="BI3" s="148"/>
      <c r="BJ3" s="148"/>
      <c r="BK3" s="148"/>
      <c r="BL3" s="148"/>
      <c r="BM3" s="148"/>
      <c r="BN3" s="148"/>
      <c r="BO3" s="148"/>
      <c r="BP3" s="148"/>
      <c r="BQ3" s="148"/>
      <c r="BR3" s="148"/>
      <c r="BS3" s="148"/>
      <c r="BT3" s="148"/>
      <c r="BU3" s="148"/>
      <c r="BV3" s="148"/>
    </row>
    <row r="4" spans="1:75" ht="15" customHeight="1" x14ac:dyDescent="0.3">
      <c r="E4" s="3"/>
      <c r="F4" s="3"/>
      <c r="G4" s="3"/>
      <c r="H4" s="3"/>
      <c r="I4" s="3"/>
      <c r="J4" s="3"/>
      <c r="K4" s="3"/>
      <c r="L4" s="3"/>
      <c r="M4" s="3"/>
      <c r="N4" s="3"/>
      <c r="O4" s="3"/>
      <c r="P4" s="3"/>
      <c r="Q4" s="148"/>
      <c r="R4" s="148"/>
      <c r="S4" s="148"/>
      <c r="T4" s="148"/>
      <c r="U4" s="148"/>
      <c r="V4" s="148"/>
      <c r="W4" s="148"/>
      <c r="X4" s="148"/>
      <c r="Y4" s="148"/>
      <c r="Z4" s="148"/>
      <c r="AA4" s="148"/>
      <c r="AB4" s="148"/>
      <c r="AC4" s="148"/>
      <c r="AD4" s="148"/>
      <c r="AE4" s="148"/>
      <c r="AF4" s="148"/>
      <c r="AG4" s="148"/>
      <c r="AH4" s="148"/>
      <c r="AI4" s="148"/>
      <c r="AJ4" s="148"/>
      <c r="AK4" s="148"/>
      <c r="BD4" s="148"/>
      <c r="BE4" s="148"/>
      <c r="BF4" s="148"/>
      <c r="BG4" s="148"/>
      <c r="BH4" s="148"/>
      <c r="BI4" s="148"/>
      <c r="BJ4" s="148"/>
      <c r="BK4" s="148"/>
      <c r="BL4" s="148"/>
      <c r="BM4" s="148"/>
      <c r="BN4" s="148"/>
      <c r="BO4" s="148"/>
      <c r="BP4" s="148"/>
      <c r="BQ4" s="148"/>
      <c r="BR4" s="148"/>
      <c r="BS4" s="148"/>
      <c r="BT4" s="148"/>
      <c r="BU4" s="148"/>
      <c r="BV4" s="148"/>
    </row>
    <row r="5" spans="1:75" ht="4.95" customHeight="1" x14ac:dyDescent="0.3">
      <c r="E5" s="3"/>
      <c r="F5" s="3"/>
      <c r="G5" s="3"/>
      <c r="H5" s="3"/>
      <c r="I5" s="3"/>
      <c r="J5" s="3"/>
      <c r="K5" s="3"/>
      <c r="L5" s="3"/>
      <c r="M5" s="3"/>
      <c r="N5" s="3"/>
      <c r="O5" s="3"/>
      <c r="P5" s="3"/>
      <c r="Q5" s="3"/>
      <c r="R5" s="3"/>
      <c r="S5" s="3"/>
      <c r="T5" s="3"/>
      <c r="U5" s="3"/>
      <c r="V5" s="3"/>
      <c r="W5" s="3"/>
      <c r="X5" s="3"/>
      <c r="Y5" s="3"/>
      <c r="Z5" s="3"/>
      <c r="AA5" s="3"/>
      <c r="AB5" s="26"/>
      <c r="AC5" s="26"/>
      <c r="AD5" s="26"/>
      <c r="AE5" s="26"/>
      <c r="AF5" s="26"/>
      <c r="AG5" s="26"/>
      <c r="AH5" s="26"/>
      <c r="AI5" s="26"/>
      <c r="AJ5" s="26"/>
    </row>
    <row r="6" spans="1:75" ht="15" customHeight="1" x14ac:dyDescent="0.3">
      <c r="A6" s="27"/>
      <c r="B6" s="28" t="s">
        <v>123</v>
      </c>
      <c r="C6" s="28"/>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30"/>
      <c r="AO6" s="144" t="s">
        <v>72</v>
      </c>
      <c r="AP6" s="144"/>
      <c r="AQ6" s="144"/>
      <c r="AR6" s="144"/>
      <c r="AS6" s="144"/>
      <c r="AT6" s="144"/>
      <c r="AU6" s="144"/>
      <c r="AV6" s="144"/>
      <c r="AW6" s="144"/>
      <c r="AX6" s="144"/>
      <c r="AY6" s="144"/>
      <c r="AZ6" s="144"/>
      <c r="BA6" s="144"/>
      <c r="BB6" s="144"/>
      <c r="BC6" s="144"/>
      <c r="BD6" s="74"/>
      <c r="BE6" s="74"/>
      <c r="BF6" s="74"/>
      <c r="BG6" s="74"/>
      <c r="BH6" s="74"/>
      <c r="BI6" s="74"/>
      <c r="BJ6" s="74"/>
      <c r="BK6" s="74"/>
      <c r="BL6" s="74"/>
      <c r="BM6" s="74"/>
      <c r="BN6" s="74"/>
      <c r="BO6" s="74"/>
      <c r="BP6" s="74"/>
      <c r="BQ6" s="74"/>
      <c r="BR6" s="74"/>
      <c r="BS6" s="74"/>
      <c r="BT6" s="74"/>
      <c r="BU6" s="74"/>
      <c r="BV6" s="74"/>
      <c r="BW6" s="74"/>
    </row>
    <row r="7" spans="1:75" ht="15" customHeight="1" x14ac:dyDescent="0.3">
      <c r="A7" s="31"/>
      <c r="B7" s="10" t="s">
        <v>64</v>
      </c>
      <c r="C7" s="10"/>
      <c r="D7" s="10"/>
      <c r="E7" s="208"/>
      <c r="F7" s="208"/>
      <c r="G7" s="208"/>
      <c r="H7" s="208"/>
      <c r="I7" s="208"/>
      <c r="J7" s="208"/>
      <c r="K7" s="208"/>
      <c r="L7" s="208"/>
      <c r="M7" s="208"/>
      <c r="N7" s="208"/>
      <c r="O7" s="208"/>
      <c r="P7" s="208"/>
      <c r="Q7" s="208"/>
      <c r="R7" s="208"/>
      <c r="S7" s="208"/>
      <c r="T7" s="208"/>
      <c r="U7" s="208"/>
      <c r="V7" s="208"/>
      <c r="W7" s="208"/>
      <c r="X7" s="208"/>
      <c r="Y7" s="10"/>
      <c r="Z7" s="10"/>
      <c r="AA7" s="10"/>
      <c r="AB7" s="10"/>
      <c r="AC7" s="10"/>
      <c r="AD7" s="32" t="s">
        <v>21</v>
      </c>
      <c r="AE7" s="209"/>
      <c r="AF7" s="209"/>
      <c r="AG7" s="209"/>
      <c r="AH7" s="209"/>
      <c r="AI7" s="209"/>
      <c r="AJ7" s="209"/>
      <c r="AK7" s="33"/>
      <c r="AO7" s="144"/>
      <c r="AP7" s="144"/>
      <c r="AQ7" s="144"/>
      <c r="AR7" s="144"/>
      <c r="AS7" s="144"/>
      <c r="AT7" s="144"/>
      <c r="AU7" s="144"/>
      <c r="AV7" s="144"/>
      <c r="AW7" s="144"/>
      <c r="AX7" s="144"/>
      <c r="AY7" s="144"/>
      <c r="AZ7" s="144"/>
      <c r="BA7" s="144"/>
      <c r="BB7" s="144"/>
      <c r="BC7" s="144"/>
    </row>
    <row r="8" spans="1:75" ht="4.95" customHeight="1" x14ac:dyDescent="0.3">
      <c r="A8" s="3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32"/>
      <c r="AG8" s="12"/>
      <c r="AH8" s="12"/>
      <c r="AI8" s="12"/>
      <c r="AJ8" s="12"/>
      <c r="AK8" s="33"/>
    </row>
    <row r="9" spans="1:75" ht="15" customHeight="1" x14ac:dyDescent="0.3">
      <c r="A9" s="31"/>
      <c r="B9" s="10" t="s">
        <v>22</v>
      </c>
      <c r="C9" s="10"/>
      <c r="D9" s="10"/>
      <c r="E9" s="10"/>
      <c r="F9" s="10"/>
      <c r="G9" s="94"/>
      <c r="H9" s="10" t="s">
        <v>132</v>
      </c>
      <c r="I9" s="10"/>
      <c r="J9" s="10"/>
      <c r="K9" s="10"/>
      <c r="L9" s="10"/>
      <c r="M9" s="94"/>
      <c r="N9" s="10" t="s">
        <v>133</v>
      </c>
      <c r="O9" s="10"/>
      <c r="P9" s="10"/>
      <c r="Q9" s="10"/>
      <c r="R9" s="10"/>
      <c r="S9" s="10"/>
      <c r="T9" s="10"/>
      <c r="U9" s="10"/>
      <c r="V9" s="94"/>
      <c r="W9" s="10" t="s">
        <v>134</v>
      </c>
      <c r="X9" s="10"/>
      <c r="Y9" s="10"/>
      <c r="Z9" s="10"/>
      <c r="AA9" s="10"/>
      <c r="AB9" s="10"/>
      <c r="AC9" s="94"/>
      <c r="AD9" s="10" t="s">
        <v>135</v>
      </c>
      <c r="AE9" s="10"/>
      <c r="AF9" s="10"/>
      <c r="AG9" s="10"/>
      <c r="AH9" s="10"/>
      <c r="AI9" s="10"/>
      <c r="AJ9" s="10"/>
      <c r="AK9" s="33"/>
      <c r="AO9" s="116" t="s">
        <v>396</v>
      </c>
      <c r="AP9" s="116"/>
      <c r="AQ9" s="11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row>
    <row r="10" spans="1:75" ht="4.95" customHeight="1" x14ac:dyDescent="0.3">
      <c r="A10" s="3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33"/>
      <c r="AO10" s="116"/>
      <c r="AP10" s="116"/>
      <c r="AQ10" s="11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row>
    <row r="11" spans="1:75" ht="15" customHeight="1" x14ac:dyDescent="0.3">
      <c r="A11" s="31"/>
      <c r="B11" s="10" t="s">
        <v>23</v>
      </c>
      <c r="C11" s="10"/>
      <c r="D11" s="10"/>
      <c r="E11" s="10"/>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33"/>
      <c r="AO11" s="24">
        <v>1</v>
      </c>
      <c r="AP11" s="116" t="s">
        <v>335</v>
      </c>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row>
    <row r="12" spans="1:75" ht="4.95" customHeight="1" x14ac:dyDescent="0.3">
      <c r="A12" s="37"/>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38"/>
      <c r="AO12" s="24"/>
      <c r="AP12" s="11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row>
    <row r="13" spans="1:75" ht="4.95" customHeight="1" x14ac:dyDescent="0.3">
      <c r="AO13" s="24"/>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row>
    <row r="14" spans="1:75" ht="15" customHeight="1" x14ac:dyDescent="0.3">
      <c r="B14" s="1" t="s">
        <v>184</v>
      </c>
      <c r="C14" s="1"/>
      <c r="D14" s="1"/>
      <c r="AD14" s="2" t="str">
        <f>IF(Tables!C25=0,"",Tables!C25&amp;": ")</f>
        <v/>
      </c>
      <c r="AE14" s="163"/>
      <c r="AF14" s="163"/>
      <c r="AG14" s="163"/>
      <c r="AH14" s="163"/>
      <c r="AI14" s="163"/>
      <c r="AJ14" s="163"/>
      <c r="AM14" s="124">
        <f>LEN(AD14)</f>
        <v>0</v>
      </c>
      <c r="AP14" s="120" t="s">
        <v>116</v>
      </c>
      <c r="AQ14" s="39" t="s">
        <v>336</v>
      </c>
      <c r="AR14" s="112"/>
      <c r="AS14" s="112"/>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row>
    <row r="15" spans="1:75" ht="15" customHeight="1" x14ac:dyDescent="0.3">
      <c r="D15" s="2" t="s">
        <v>144</v>
      </c>
      <c r="E15" s="155"/>
      <c r="F15" s="155"/>
      <c r="G15" s="155"/>
      <c r="H15" s="155"/>
      <c r="I15" s="155"/>
      <c r="J15" s="155"/>
      <c r="K15" s="155"/>
      <c r="L15" s="155"/>
      <c r="M15" s="155"/>
      <c r="N15" s="155"/>
      <c r="O15" s="155"/>
      <c r="P15" s="155"/>
      <c r="Q15" s="155"/>
      <c r="R15" s="155"/>
      <c r="S15" s="155"/>
      <c r="T15" s="155"/>
      <c r="U15" s="155"/>
      <c r="V15" s="155"/>
      <c r="W15" s="155"/>
      <c r="X15" s="155"/>
      <c r="Y15" s="155"/>
      <c r="AD15" s="2" t="s">
        <v>185</v>
      </c>
      <c r="AE15" s="210"/>
      <c r="AF15" s="210"/>
      <c r="AG15" s="210"/>
      <c r="AH15" s="210"/>
      <c r="AI15" s="210"/>
      <c r="AJ15" s="210"/>
      <c r="AO15" s="24"/>
      <c r="AP15" s="120" t="s">
        <v>116</v>
      </c>
      <c r="AQ15" s="112" t="s">
        <v>432</v>
      </c>
      <c r="AR15" s="112"/>
      <c r="AS15" s="112"/>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row>
    <row r="16" spans="1:75" ht="15" customHeight="1" x14ac:dyDescent="0.3">
      <c r="D16" s="2" t="s">
        <v>145</v>
      </c>
      <c r="E16" s="167"/>
      <c r="F16" s="167"/>
      <c r="G16" s="167"/>
      <c r="H16" s="167"/>
      <c r="I16" s="167"/>
      <c r="J16" s="167"/>
      <c r="K16" s="167"/>
      <c r="L16" s="167"/>
      <c r="M16" s="167"/>
      <c r="N16" s="167"/>
      <c r="O16" s="167"/>
      <c r="P16" s="167"/>
      <c r="Q16" s="167"/>
      <c r="R16" s="167"/>
      <c r="S16" s="167"/>
      <c r="T16" s="167"/>
      <c r="U16" s="167"/>
      <c r="V16" s="167"/>
      <c r="W16" s="167"/>
      <c r="X16" s="167"/>
      <c r="Y16" s="167"/>
      <c r="AB16" s="2"/>
      <c r="AD16" s="2" t="s">
        <v>186</v>
      </c>
      <c r="AE16" s="211"/>
      <c r="AF16" s="211"/>
      <c r="AG16" s="211"/>
      <c r="AH16" s="211"/>
      <c r="AI16" s="211"/>
      <c r="AJ16" s="211"/>
      <c r="AP16" s="120" t="s">
        <v>116</v>
      </c>
      <c r="AQ16" s="112" t="s">
        <v>433</v>
      </c>
      <c r="AR16" s="112"/>
      <c r="AS16" s="112"/>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row>
    <row r="17" spans="2:75" ht="15" customHeight="1" x14ac:dyDescent="0.3">
      <c r="C17" s="11"/>
      <c r="D17" s="2" t="s">
        <v>446</v>
      </c>
      <c r="E17" s="167"/>
      <c r="F17" s="167"/>
      <c r="G17" s="167"/>
      <c r="H17" s="167"/>
      <c r="I17" s="167"/>
      <c r="J17" s="167"/>
      <c r="K17" s="78"/>
      <c r="L17" s="78"/>
      <c r="M17" s="136" t="s">
        <v>148</v>
      </c>
      <c r="N17" s="212"/>
      <c r="O17" s="212"/>
      <c r="P17" s="212"/>
      <c r="Q17" s="212"/>
      <c r="R17" s="78"/>
      <c r="S17" s="78"/>
      <c r="T17" s="78"/>
      <c r="U17" s="136" t="s">
        <v>149</v>
      </c>
      <c r="V17" s="152"/>
      <c r="W17" s="152"/>
      <c r="X17" s="152"/>
      <c r="Y17" s="152"/>
      <c r="Z17" s="11"/>
      <c r="AA17" s="11"/>
      <c r="AC17" s="11"/>
      <c r="AD17" s="2" t="s">
        <v>187</v>
      </c>
      <c r="AE17" s="217"/>
      <c r="AF17" s="217"/>
      <c r="AG17" s="217"/>
      <c r="AH17" s="217"/>
      <c r="AI17" s="217"/>
      <c r="AJ17" s="217"/>
      <c r="AO17" s="24">
        <v>2</v>
      </c>
      <c r="AP17" s="112" t="s">
        <v>337</v>
      </c>
      <c r="AR17" s="112"/>
      <c r="AS17" s="112"/>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row>
    <row r="18" spans="2:75" ht="15" customHeight="1" x14ac:dyDescent="0.3">
      <c r="C18" s="11"/>
      <c r="D18" s="2" t="s">
        <v>189</v>
      </c>
      <c r="E18" s="167"/>
      <c r="F18" s="167"/>
      <c r="G18" s="167"/>
      <c r="H18" s="167"/>
      <c r="I18" s="167"/>
      <c r="J18" s="167"/>
      <c r="K18" s="155"/>
      <c r="L18" s="155"/>
      <c r="M18" s="155"/>
      <c r="N18" s="167"/>
      <c r="O18" s="167"/>
      <c r="P18" s="167"/>
      <c r="Q18" s="167"/>
      <c r="R18" s="155"/>
      <c r="S18" s="155"/>
      <c r="T18" s="155"/>
      <c r="U18" s="155"/>
      <c r="V18" s="167"/>
      <c r="W18" s="167"/>
      <c r="X18" s="167"/>
      <c r="Y18" s="167"/>
      <c r="Z18" s="11"/>
      <c r="AA18" s="11"/>
      <c r="AC18" s="11"/>
      <c r="AD18" s="2" t="s">
        <v>188</v>
      </c>
      <c r="AE18" s="218"/>
      <c r="AF18" s="218"/>
      <c r="AG18" s="218"/>
      <c r="AH18" s="218"/>
      <c r="AI18" s="218"/>
      <c r="AJ18" s="218"/>
      <c r="AO18" s="24">
        <v>3</v>
      </c>
      <c r="AP18" s="112" t="s">
        <v>108</v>
      </c>
      <c r="AQ18" s="112"/>
      <c r="AR18" s="120"/>
      <c r="AS18" s="112"/>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row>
    <row r="19" spans="2:75" ht="15" customHeight="1" x14ac:dyDescent="0.3">
      <c r="C19" s="11"/>
      <c r="D19" s="2" t="s">
        <v>146</v>
      </c>
      <c r="E19" s="216"/>
      <c r="F19" s="167"/>
      <c r="G19" s="167"/>
      <c r="H19" s="167"/>
      <c r="I19" s="167"/>
      <c r="J19" s="167"/>
      <c r="K19" s="167"/>
      <c r="L19" s="167"/>
      <c r="M19" s="167"/>
      <c r="N19" s="167"/>
      <c r="O19" s="167"/>
      <c r="P19" s="167"/>
      <c r="Q19" s="167"/>
      <c r="R19" s="167"/>
      <c r="S19" s="167"/>
      <c r="T19" s="167"/>
      <c r="U19" s="167"/>
      <c r="V19" s="167"/>
      <c r="W19" s="167"/>
      <c r="X19" s="167"/>
      <c r="Y19" s="167"/>
      <c r="Z19" s="11"/>
      <c r="AA19" s="11"/>
      <c r="AC19" s="11"/>
      <c r="AD19" s="2" t="s">
        <v>150</v>
      </c>
      <c r="AE19" s="213"/>
      <c r="AF19" s="213"/>
      <c r="AG19" s="213"/>
      <c r="AH19" s="213"/>
      <c r="AI19" s="213"/>
      <c r="AJ19" s="213"/>
      <c r="AO19" s="24"/>
      <c r="AP19" s="120" t="s">
        <v>116</v>
      </c>
      <c r="AQ19" s="112" t="s">
        <v>102</v>
      </c>
      <c r="AR19" s="24"/>
      <c r="AS19" s="120"/>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row>
    <row r="20" spans="2:75" ht="4.95" customHeight="1" x14ac:dyDescent="0.3">
      <c r="AS20" s="24"/>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row>
    <row r="21" spans="2:75" ht="15" customHeight="1" x14ac:dyDescent="0.3">
      <c r="B21" s="39" t="s">
        <v>128</v>
      </c>
      <c r="C21" s="2"/>
      <c r="D21" s="2"/>
      <c r="G21" s="70"/>
      <c r="H21" s="39" t="s">
        <v>182</v>
      </c>
      <c r="M21" s="70"/>
      <c r="N21" s="39" t="s">
        <v>183</v>
      </c>
      <c r="AO21" s="24"/>
      <c r="AP21" s="120" t="s">
        <v>116</v>
      </c>
      <c r="AQ21" s="112" t="s">
        <v>190</v>
      </c>
      <c r="AR21" s="122"/>
      <c r="AS21" s="122"/>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row>
    <row r="22" spans="2:75" ht="4.95" customHeight="1" x14ac:dyDescent="0.3">
      <c r="AO22" s="24"/>
      <c r="AR22" s="122"/>
      <c r="AS22" s="122"/>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row>
    <row r="23" spans="2:75" ht="15" customHeight="1" x14ac:dyDescent="0.3">
      <c r="B23" s="1" t="s">
        <v>191</v>
      </c>
      <c r="C23" s="2"/>
      <c r="D23" s="2"/>
      <c r="AO23" s="24">
        <v>4</v>
      </c>
      <c r="AP23" s="122" t="str">
        <f>"Form 4D - Bioretention Area Annual Inspection Form shall be submitted to the "&amp;Tables!$C$23&amp;" on an annual basis"</f>
        <v>Form 4D - Bioretention Area Annual Inspection Form shall be submitted to the City on an annual basis</v>
      </c>
      <c r="AQ23" s="120"/>
      <c r="AR23" s="122"/>
      <c r="AS23" s="122"/>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row>
    <row r="24" spans="2:75" ht="14.55" customHeight="1" x14ac:dyDescent="0.3">
      <c r="M24" s="39" t="s">
        <v>171</v>
      </c>
      <c r="O24" s="39" t="s">
        <v>172</v>
      </c>
      <c r="Q24" s="39" t="s">
        <v>154</v>
      </c>
      <c r="AE24" s="39" t="s">
        <v>171</v>
      </c>
      <c r="AG24" s="39" t="s">
        <v>172</v>
      </c>
      <c r="AI24" s="39" t="s">
        <v>154</v>
      </c>
      <c r="AO24" s="24"/>
      <c r="AP24" s="122" t="str">
        <f>"by "&amp;Tables!C27&amp;" of each year."</f>
        <v>by 1 September of each year.</v>
      </c>
      <c r="AQ24" s="24"/>
      <c r="AR24" s="112"/>
      <c r="AS24" s="112"/>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row>
    <row r="25" spans="2:75" ht="14.55" customHeight="1" x14ac:dyDescent="0.3">
      <c r="B25" s="24">
        <v>1</v>
      </c>
      <c r="C25" s="39" t="s">
        <v>319</v>
      </c>
      <c r="M25" s="70"/>
      <c r="T25" s="24">
        <v>6</v>
      </c>
      <c r="U25" s="39" t="s">
        <v>248</v>
      </c>
      <c r="AE25" s="70"/>
      <c r="AM25" s="124">
        <f>IF(ISBLANK(M25),1,2)</f>
        <v>1</v>
      </c>
      <c r="AN25" s="124">
        <f>IF(ISBLANK(AE25),1,2)</f>
        <v>1</v>
      </c>
      <c r="AO25" s="24">
        <v>5</v>
      </c>
      <c r="AP25" s="112" t="s">
        <v>429</v>
      </c>
      <c r="AQ25" s="122"/>
      <c r="AR25" s="112"/>
      <c r="AS25" s="112"/>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row>
    <row r="26" spans="2:75" ht="4.95" customHeight="1" x14ac:dyDescent="0.3">
      <c r="AM26" s="23"/>
      <c r="AN26" s="23"/>
      <c r="AQ26" s="122"/>
      <c r="AR26" s="112"/>
      <c r="AS26" s="112"/>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row>
    <row r="27" spans="2:75" ht="14.55" customHeight="1" x14ac:dyDescent="0.3">
      <c r="C27" s="4" t="s">
        <v>98</v>
      </c>
      <c r="D27" s="39" t="s">
        <v>320</v>
      </c>
      <c r="O27" s="70"/>
      <c r="Q27" s="70"/>
      <c r="U27" s="4" t="s">
        <v>98</v>
      </c>
      <c r="V27" s="39" t="s">
        <v>195</v>
      </c>
      <c r="AG27" s="70"/>
      <c r="AI27" s="70"/>
      <c r="AM27" s="124">
        <f>IF(AND(ISBLANK(O27),ISBLANK(Q27)),1,2)</f>
        <v>1</v>
      </c>
      <c r="AN27" s="124">
        <f>IF(AND(ISBLANK(AG27),ISBLANK(AI27)),1,2)</f>
        <v>1</v>
      </c>
      <c r="AP27" s="112" t="s">
        <v>430</v>
      </c>
      <c r="AQ27" s="122"/>
      <c r="AR27" s="112"/>
      <c r="AS27" s="112"/>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row>
    <row r="28" spans="2:75" ht="4.95" customHeight="1" x14ac:dyDescent="0.3">
      <c r="C28" s="4"/>
      <c r="U28" s="4"/>
      <c r="AM28" s="23"/>
      <c r="AN28" s="23"/>
      <c r="AQ28" s="112"/>
      <c r="AR28" s="67"/>
      <c r="AS28" s="67"/>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row>
    <row r="29" spans="2:75" ht="14.55" customHeight="1" x14ac:dyDescent="0.3">
      <c r="C29" s="4" t="s">
        <v>99</v>
      </c>
      <c r="D29" s="39" t="s">
        <v>321</v>
      </c>
      <c r="O29" s="70"/>
      <c r="Q29" s="70"/>
      <c r="U29" s="4" t="s">
        <v>99</v>
      </c>
      <c r="V29" s="39" t="s">
        <v>207</v>
      </c>
      <c r="AG29" s="70"/>
      <c r="AI29" s="70"/>
      <c r="AM29" s="124">
        <f>IF(AND(ISBLANK(O29),ISBLANK(Q29)),1,2)</f>
        <v>1</v>
      </c>
      <c r="AN29" s="124">
        <f>IF(AND(ISBLANK(AG29),ISBLANK(AI29)),1,2)</f>
        <v>1</v>
      </c>
      <c r="AO29" s="24"/>
      <c r="AP29" s="112" t="s">
        <v>431</v>
      </c>
      <c r="AQ29" s="112"/>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row>
    <row r="30" spans="2:75" ht="4.95" customHeight="1" x14ac:dyDescent="0.3">
      <c r="AM30" s="23"/>
      <c r="AN30" s="23"/>
      <c r="AO30" s="24"/>
      <c r="AP30" s="112"/>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row>
    <row r="31" spans="2:75" ht="14.55" customHeight="1" x14ac:dyDescent="0.3">
      <c r="C31" s="4" t="s">
        <v>113</v>
      </c>
      <c r="D31" s="39" t="s">
        <v>322</v>
      </c>
      <c r="O31" s="70"/>
      <c r="Q31" s="70"/>
      <c r="U31" s="4" t="s">
        <v>113</v>
      </c>
      <c r="V31" s="39" t="s">
        <v>316</v>
      </c>
      <c r="AG31" s="70"/>
      <c r="AI31" s="70"/>
      <c r="AM31" s="124">
        <f>IF(AND(ISBLANK(O31),ISBLANK(Q31)),1,2)</f>
        <v>1</v>
      </c>
      <c r="AN31" s="124">
        <f>IF(AND(ISBLANK(AG31),ISBLANK(AI31)),1,2)</f>
        <v>1</v>
      </c>
      <c r="AO31" s="24"/>
      <c r="AP31" s="112"/>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row>
    <row r="32" spans="2:75" ht="4.95" customHeight="1" x14ac:dyDescent="0.3">
      <c r="AM32" s="23"/>
      <c r="AN32" s="23"/>
      <c r="AO32" s="35"/>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row>
    <row r="33" spans="2:75" ht="14.55" customHeight="1" x14ac:dyDescent="0.3">
      <c r="B33" s="24">
        <v>2</v>
      </c>
      <c r="C33" s="39" t="s">
        <v>273</v>
      </c>
      <c r="M33" s="70"/>
      <c r="T33" s="24">
        <v>7</v>
      </c>
      <c r="U33" s="39" t="s">
        <v>249</v>
      </c>
      <c r="AE33" s="70"/>
      <c r="AM33" s="124">
        <f>IF(ISBLANK(M33),1,2)</f>
        <v>1</v>
      </c>
      <c r="AN33" s="124">
        <f>IF(ISBLANK(AE33),1,2)</f>
        <v>1</v>
      </c>
      <c r="AO33" s="24">
        <v>6</v>
      </c>
      <c r="AP33" s="112" t="s">
        <v>434</v>
      </c>
      <c r="AQ33" s="112"/>
      <c r="AR33" s="24"/>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row>
    <row r="34" spans="2:75" ht="4.95" customHeight="1" x14ac:dyDescent="0.3">
      <c r="B34" s="24"/>
      <c r="T34" s="24"/>
      <c r="AM34" s="23"/>
      <c r="AN34" s="23"/>
      <c r="AO34" s="24"/>
      <c r="AP34" s="112"/>
      <c r="AQ34" s="112"/>
      <c r="AR34" s="24"/>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row>
    <row r="35" spans="2:75" ht="14.55" customHeight="1" x14ac:dyDescent="0.3">
      <c r="B35" s="24"/>
      <c r="C35" s="4" t="s">
        <v>98</v>
      </c>
      <c r="D35" s="39" t="s">
        <v>192</v>
      </c>
      <c r="O35" s="70"/>
      <c r="Q35" s="70"/>
      <c r="T35" s="24"/>
      <c r="U35" s="4" t="s">
        <v>98</v>
      </c>
      <c r="V35" s="39" t="s">
        <v>192</v>
      </c>
      <c r="AG35" s="70"/>
      <c r="AI35" s="70"/>
      <c r="AM35" s="124">
        <f>IF(AND(ISBLANK(O35),ISBLANK(Q35)),1,2)</f>
        <v>1</v>
      </c>
      <c r="AN35" s="124">
        <f>IF(AND(ISBLANK(AG35),ISBLANK(AI35)),1,2)</f>
        <v>1</v>
      </c>
      <c r="AO35" s="24"/>
      <c r="AP35" s="120" t="s">
        <v>116</v>
      </c>
      <c r="AQ35" s="112" t="s">
        <v>435</v>
      </c>
      <c r="AR35" s="24"/>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row>
    <row r="36" spans="2:75" ht="4.95" customHeight="1" x14ac:dyDescent="0.3">
      <c r="B36" s="24"/>
      <c r="C36" s="4"/>
      <c r="T36" s="24"/>
      <c r="U36" s="4"/>
      <c r="AM36" s="23"/>
      <c r="AN36" s="23"/>
      <c r="AO36" s="24"/>
      <c r="AP36" s="24"/>
      <c r="AR36" s="24"/>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row>
    <row r="37" spans="2:75" ht="14.55" customHeight="1" x14ac:dyDescent="0.3">
      <c r="B37" s="24"/>
      <c r="C37" s="4" t="s">
        <v>99</v>
      </c>
      <c r="D37" s="39" t="s">
        <v>193</v>
      </c>
      <c r="O37" s="70"/>
      <c r="Q37" s="70"/>
      <c r="T37" s="24"/>
      <c r="U37" s="4" t="s">
        <v>99</v>
      </c>
      <c r="V37" s="39" t="s">
        <v>193</v>
      </c>
      <c r="AG37" s="70"/>
      <c r="AI37" s="70"/>
      <c r="AM37" s="124">
        <f>IF(AND(ISBLANK(O37),ISBLANK(Q37)),1,2)</f>
        <v>1</v>
      </c>
      <c r="AN37" s="124">
        <f>IF(AND(ISBLANK(AG37),ISBLANK(AI37)),1,2)</f>
        <v>1</v>
      </c>
      <c r="AO37" s="24"/>
      <c r="AP37" s="120" t="s">
        <v>116</v>
      </c>
      <c r="AQ37" s="39" t="s">
        <v>436</v>
      </c>
    </row>
    <row r="38" spans="2:75" ht="4.95" customHeight="1" x14ac:dyDescent="0.3">
      <c r="B38" s="24"/>
      <c r="C38" s="4"/>
      <c r="T38" s="24"/>
      <c r="U38" s="4"/>
      <c r="AM38" s="23"/>
      <c r="AN38" s="23"/>
      <c r="AO38" s="24"/>
      <c r="AP38" s="24"/>
      <c r="AR38" s="24"/>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row>
    <row r="39" spans="2:75" ht="14.55" customHeight="1" x14ac:dyDescent="0.3">
      <c r="B39" s="24">
        <v>3</v>
      </c>
      <c r="C39" s="39" t="s">
        <v>208</v>
      </c>
      <c r="M39" s="70"/>
      <c r="T39" s="24">
        <v>8</v>
      </c>
      <c r="U39" s="39" t="s">
        <v>93</v>
      </c>
      <c r="AE39" s="70"/>
      <c r="AM39" s="124">
        <f>IF(ISBLANK(M39),1,2)</f>
        <v>1</v>
      </c>
      <c r="AN39" s="124">
        <f>IF(ISBLANK(AE39),1,2)</f>
        <v>1</v>
      </c>
      <c r="AO39" s="24"/>
      <c r="AP39" s="120" t="s">
        <v>116</v>
      </c>
      <c r="AQ39" s="39" t="s">
        <v>437</v>
      </c>
      <c r="AR39" s="24"/>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row>
    <row r="40" spans="2:75" ht="4.95" customHeight="1" x14ac:dyDescent="0.3">
      <c r="B40" s="24"/>
      <c r="T40" s="24"/>
      <c r="AM40" s="23"/>
      <c r="AN40" s="23"/>
      <c r="AO40" s="24"/>
      <c r="AP40" s="24"/>
      <c r="AR40" s="24"/>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row>
    <row r="41" spans="2:75" ht="14.55" customHeight="1" x14ac:dyDescent="0.3">
      <c r="B41" s="24"/>
      <c r="C41" s="4" t="s">
        <v>98</v>
      </c>
      <c r="D41" s="39" t="s">
        <v>192</v>
      </c>
      <c r="O41" s="70"/>
      <c r="Q41" s="70"/>
      <c r="T41" s="24"/>
      <c r="U41" s="4" t="s">
        <v>98</v>
      </c>
      <c r="V41" s="39" t="s">
        <v>192</v>
      </c>
      <c r="AG41" s="70"/>
      <c r="AI41" s="70"/>
      <c r="AM41" s="124">
        <f>IF(AND(ISBLANK(O41),ISBLANK(Q41)),1,2)</f>
        <v>1</v>
      </c>
      <c r="AN41" s="124">
        <f>IF(AND(ISBLANK(AG41),ISBLANK(AI41)),1,2)</f>
        <v>1</v>
      </c>
      <c r="AO41" s="24"/>
      <c r="AP41" s="120" t="s">
        <v>116</v>
      </c>
      <c r="AQ41" s="39" t="s">
        <v>438</v>
      </c>
      <c r="AR41" s="24"/>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row>
    <row r="42" spans="2:75" ht="4.95" customHeight="1" x14ac:dyDescent="0.3">
      <c r="B42" s="24"/>
      <c r="C42" s="4"/>
      <c r="T42" s="24"/>
      <c r="U42" s="4"/>
      <c r="AM42" s="23"/>
      <c r="AN42" s="23"/>
      <c r="AO42" s="24"/>
      <c r="AP42" s="24"/>
      <c r="AR42" s="24"/>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row>
    <row r="43" spans="2:75" ht="14.55" customHeight="1" x14ac:dyDescent="0.3">
      <c r="B43" s="24"/>
      <c r="C43" s="4" t="s">
        <v>99</v>
      </c>
      <c r="D43" s="39" t="s">
        <v>193</v>
      </c>
      <c r="O43" s="70"/>
      <c r="Q43" s="70"/>
      <c r="T43" s="24"/>
      <c r="U43" s="4" t="s">
        <v>99</v>
      </c>
      <c r="V43" s="39" t="s">
        <v>193</v>
      </c>
      <c r="AG43" s="70"/>
      <c r="AI43" s="70"/>
      <c r="AM43" s="124">
        <f>IF(AND(ISBLANK(O43),ISBLANK(Q43)),1,2)</f>
        <v>1</v>
      </c>
      <c r="AN43" s="124">
        <f>IF(AND(ISBLANK(AG43),ISBLANK(AI43)),1,2)</f>
        <v>1</v>
      </c>
      <c r="AO43" s="24"/>
      <c r="AP43" s="120" t="s">
        <v>116</v>
      </c>
      <c r="AQ43" s="39" t="s">
        <v>439</v>
      </c>
      <c r="AR43" s="24"/>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row>
    <row r="44" spans="2:75" ht="4.95" customHeight="1" x14ac:dyDescent="0.3">
      <c r="B44" s="24"/>
      <c r="C44" s="4"/>
      <c r="T44" s="24"/>
      <c r="U44" s="4"/>
      <c r="AM44" s="23"/>
      <c r="AN44" s="23"/>
      <c r="AO44" s="24"/>
      <c r="AP44" s="24"/>
      <c r="AR44" s="24"/>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row>
    <row r="45" spans="2:75" ht="14.55" customHeight="1" x14ac:dyDescent="0.3">
      <c r="B45" s="24">
        <v>4</v>
      </c>
      <c r="C45" s="39" t="s">
        <v>269</v>
      </c>
      <c r="M45" s="70"/>
      <c r="T45" s="24">
        <v>9</v>
      </c>
      <c r="U45" s="39" t="s">
        <v>265</v>
      </c>
      <c r="AM45" s="124">
        <f>IF(ISBLANK(M45),1,2)</f>
        <v>1</v>
      </c>
      <c r="AN45" s="23"/>
      <c r="AO45" s="24"/>
      <c r="AP45" s="120" t="s">
        <v>116</v>
      </c>
      <c r="AQ45" s="39" t="s">
        <v>440</v>
      </c>
      <c r="AR45" s="24"/>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row>
    <row r="46" spans="2:75" ht="4.95" customHeight="1" x14ac:dyDescent="0.3">
      <c r="B46" s="24"/>
      <c r="T46" s="24"/>
      <c r="AM46" s="23"/>
      <c r="AN46" s="23"/>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row>
    <row r="47" spans="2:75" ht="14.55" customHeight="1" x14ac:dyDescent="0.3">
      <c r="B47" s="24"/>
      <c r="C47" s="4" t="s">
        <v>98</v>
      </c>
      <c r="D47" s="39" t="s">
        <v>192</v>
      </c>
      <c r="O47" s="70"/>
      <c r="Q47" s="70"/>
      <c r="T47" s="24"/>
      <c r="U47" s="4" t="s">
        <v>99</v>
      </c>
      <c r="V47" s="39" t="s">
        <v>194</v>
      </c>
      <c r="AG47" s="70"/>
      <c r="AI47" s="70"/>
      <c r="AM47" s="124">
        <f>IF(AND(ISBLANK(O47),ISBLANK(Q47)),1,2)</f>
        <v>1</v>
      </c>
      <c r="AN47" s="124">
        <f>IF(AND(ISBLANK(AG47),ISBLANK(AI47)),1,2)</f>
        <v>1</v>
      </c>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row>
    <row r="48" spans="2:75" ht="4.95" customHeight="1" x14ac:dyDescent="0.3">
      <c r="B48" s="24"/>
      <c r="C48" s="4"/>
      <c r="T48" s="24"/>
      <c r="U48" s="4"/>
      <c r="AM48" s="23"/>
      <c r="AN48" s="23"/>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row>
    <row r="49" spans="2:75" ht="14.55" customHeight="1" x14ac:dyDescent="0.3">
      <c r="B49" s="24"/>
      <c r="C49" s="39" t="s">
        <v>99</v>
      </c>
      <c r="D49" s="39" t="s">
        <v>193</v>
      </c>
      <c r="O49" s="70"/>
      <c r="Q49" s="70"/>
      <c r="T49" s="24"/>
      <c r="U49" s="4" t="s">
        <v>113</v>
      </c>
      <c r="V49" s="39" t="s">
        <v>195</v>
      </c>
      <c r="AG49" s="70"/>
      <c r="AI49" s="70"/>
      <c r="AM49" s="124">
        <f>IF(AND(ISBLANK(O49),ISBLANK(Q49)),1,2)</f>
        <v>1</v>
      </c>
      <c r="AN49" s="124">
        <f>IF(AND(ISBLANK(AG49),ISBLANK(AI49)),1,2)</f>
        <v>1</v>
      </c>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row>
    <row r="50" spans="2:75" ht="4.95" customHeight="1" x14ac:dyDescent="0.3">
      <c r="B50" s="24"/>
      <c r="T50" s="24"/>
      <c r="AM50" s="23"/>
      <c r="AN50" s="23"/>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row>
    <row r="51" spans="2:75" ht="14.55" customHeight="1" x14ac:dyDescent="0.3">
      <c r="B51" s="24">
        <v>5</v>
      </c>
      <c r="C51" s="39" t="s">
        <v>441</v>
      </c>
      <c r="O51" s="70"/>
      <c r="Q51" s="70"/>
      <c r="T51" s="24"/>
      <c r="U51" s="4" t="s">
        <v>114</v>
      </c>
      <c r="V51" s="39" t="s">
        <v>317</v>
      </c>
      <c r="AG51" s="70"/>
      <c r="AI51" s="70"/>
      <c r="AM51" s="124">
        <f>IF(AND(ISBLANK(O51),ISBLANK(Q51)),1,2)</f>
        <v>1</v>
      </c>
      <c r="AN51" s="124">
        <f>IF(AND(ISBLANK(AG51),ISBLANK(AI51)),1,2)</f>
        <v>1</v>
      </c>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row>
    <row r="52" spans="2:75" ht="4.95" customHeight="1" x14ac:dyDescent="0.3">
      <c r="B52" s="24"/>
      <c r="T52" s="24"/>
      <c r="U52" s="4"/>
      <c r="AM52" s="23"/>
      <c r="AN52" s="23"/>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row>
    <row r="53" spans="2:75" ht="14.55" customHeight="1" x14ac:dyDescent="0.3">
      <c r="B53" s="24"/>
      <c r="T53" s="24"/>
      <c r="U53" s="4" t="s">
        <v>112</v>
      </c>
      <c r="V53" s="39" t="s">
        <v>318</v>
      </c>
      <c r="AG53" s="70"/>
      <c r="AI53" s="70"/>
      <c r="AM53" s="23"/>
      <c r="AN53" s="124">
        <f>IF(AND(ISBLANK(AG53),ISBLANK(AI53)),1,2)</f>
        <v>1</v>
      </c>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row>
    <row r="54" spans="2:75" ht="4.95" customHeight="1" x14ac:dyDescent="0.3">
      <c r="B54" s="24"/>
      <c r="T54" s="24"/>
      <c r="AM54" s="23"/>
      <c r="AN54" s="23"/>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row>
    <row r="55" spans="2:75" ht="14.55" customHeight="1" x14ac:dyDescent="0.3">
      <c r="B55" s="24"/>
      <c r="O55" s="2" t="s">
        <v>329</v>
      </c>
      <c r="P55" s="70"/>
      <c r="Q55" s="39" t="s">
        <v>130</v>
      </c>
      <c r="S55" s="70"/>
      <c r="T55" s="39" t="s">
        <v>131</v>
      </c>
      <c r="W55" s="70"/>
      <c r="X55" s="39" t="s">
        <v>332</v>
      </c>
      <c r="AM55" s="124">
        <f>IF(AND(ISBLANK(P55),ISBLANK(S55)),1,2)</f>
        <v>1</v>
      </c>
      <c r="AN55" s="124">
        <f>IF(ISBLANK(P55),1,2)</f>
        <v>1</v>
      </c>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row>
    <row r="56" spans="2:75" ht="4.95" customHeight="1" x14ac:dyDescent="0.3">
      <c r="B56" s="24"/>
      <c r="T56" s="24"/>
      <c r="AM56" s="23"/>
      <c r="AN56" s="23"/>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row>
    <row r="57" spans="2:75" ht="14.55" customHeight="1" x14ac:dyDescent="0.3">
      <c r="B57" s="24"/>
      <c r="O57" s="2" t="s">
        <v>330</v>
      </c>
      <c r="P57" s="70"/>
      <c r="Q57" s="39" t="s">
        <v>130</v>
      </c>
      <c r="S57" s="70"/>
      <c r="T57" s="39" t="s">
        <v>131</v>
      </c>
      <c r="W57" s="70"/>
      <c r="X57" s="39" t="s">
        <v>333</v>
      </c>
      <c r="AM57" s="124">
        <f>IF(AND(ISBLANK(P57),ISBLANK(S57)),1,2)</f>
        <v>1</v>
      </c>
      <c r="AN57" s="124">
        <f>IF(ISBLANK(P57),1,2)</f>
        <v>1</v>
      </c>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row>
    <row r="58" spans="2:75" ht="4.95" customHeight="1" x14ac:dyDescent="0.3">
      <c r="B58" s="24"/>
      <c r="T58" s="24"/>
      <c r="AM58" s="23"/>
      <c r="AN58" s="23"/>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row>
    <row r="59" spans="2:75" ht="14.55" customHeight="1" x14ac:dyDescent="0.3">
      <c r="B59" s="24"/>
      <c r="O59" s="2" t="s">
        <v>331</v>
      </c>
      <c r="P59" s="70"/>
      <c r="Q59" s="39" t="s">
        <v>130</v>
      </c>
      <c r="S59" s="70"/>
      <c r="T59" s="39" t="s">
        <v>131</v>
      </c>
      <c r="W59" s="70"/>
      <c r="X59" s="39" t="s">
        <v>334</v>
      </c>
      <c r="AM59" s="124">
        <f>IF(AND(ISBLANK(P59),ISBLANK(S59)),1,2)</f>
        <v>1</v>
      </c>
      <c r="AN59" s="124">
        <f>IF(ISBLANK(P59),1,2)</f>
        <v>1</v>
      </c>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row>
    <row r="60" spans="2:75" ht="4.95" customHeight="1" x14ac:dyDescent="0.3">
      <c r="B60" s="24"/>
      <c r="T60" s="24"/>
      <c r="AM60" s="23"/>
      <c r="AN60" s="23"/>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row>
    <row r="61" spans="2:75" ht="15" customHeight="1" x14ac:dyDescent="0.3">
      <c r="B61" s="1" t="s">
        <v>196</v>
      </c>
      <c r="AM61" s="23"/>
      <c r="AN61" s="23"/>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row>
    <row r="62" spans="2:75" ht="4.95" customHeight="1" x14ac:dyDescent="0.3">
      <c r="AM62" s="23"/>
      <c r="AN62" s="23"/>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row>
    <row r="63" spans="2:75" ht="14.55" customHeight="1" x14ac:dyDescent="0.3">
      <c r="C63" s="70"/>
      <c r="D63" s="39" t="s">
        <v>197</v>
      </c>
      <c r="R63" s="70"/>
      <c r="S63" s="39" t="s">
        <v>198</v>
      </c>
      <c r="AM63" s="124">
        <f>IF(AND(ISBLANK(C63),ISBLANK(R63)),1,2)</f>
        <v>1</v>
      </c>
      <c r="AN63" s="23"/>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row>
    <row r="64" spans="2:75" ht="4.95" customHeight="1" x14ac:dyDescent="0.3">
      <c r="AM64" s="23"/>
      <c r="AN64" s="23"/>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row>
    <row r="65" spans="2:75" ht="15" customHeight="1" x14ac:dyDescent="0.3">
      <c r="AM65" s="23"/>
      <c r="AN65" s="23"/>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row>
    <row r="66" spans="2:75" ht="15" customHeight="1" x14ac:dyDescent="0.3">
      <c r="B66" s="142">
        <f>Tables!$C$13</f>
        <v>45383</v>
      </c>
      <c r="C66" s="142"/>
      <c r="D66" s="142"/>
      <c r="E66" s="142"/>
      <c r="F66" s="142"/>
      <c r="G66" s="142"/>
      <c r="H66" s="142"/>
      <c r="R66" s="143" t="s">
        <v>346</v>
      </c>
      <c r="S66" s="143"/>
      <c r="T66" s="143"/>
      <c r="U66" s="143"/>
      <c r="AM66" s="23"/>
      <c r="AN66" s="23"/>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row>
    <row r="67" spans="2:75" ht="15" customHeight="1" x14ac:dyDescent="0.3">
      <c r="D67" s="2" t="s">
        <v>144</v>
      </c>
      <c r="E67" s="185">
        <f>$E$15</f>
        <v>0</v>
      </c>
      <c r="F67" s="185"/>
      <c r="G67" s="185"/>
      <c r="H67" s="185"/>
      <c r="I67" s="185"/>
      <c r="J67" s="185"/>
      <c r="K67" s="185"/>
      <c r="L67" s="185"/>
      <c r="M67" s="185"/>
      <c r="N67" s="185"/>
      <c r="O67" s="185"/>
      <c r="P67" s="185"/>
      <c r="Q67" s="185"/>
      <c r="R67" s="185"/>
      <c r="S67" s="185"/>
      <c r="T67" s="185"/>
      <c r="U67" s="185"/>
      <c r="V67" s="185"/>
      <c r="W67" s="185"/>
      <c r="X67" s="185"/>
      <c r="Y67" s="185"/>
      <c r="AD67" s="2" t="s">
        <v>185</v>
      </c>
      <c r="AE67" s="214">
        <f>$AE$15</f>
        <v>0</v>
      </c>
      <c r="AF67" s="215"/>
      <c r="AG67" s="215"/>
      <c r="AH67" s="215"/>
      <c r="AI67" s="215"/>
      <c r="AJ67" s="215"/>
      <c r="AM67" s="23"/>
      <c r="AN67" s="23"/>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row>
    <row r="68" spans="2:75" ht="15" customHeight="1" x14ac:dyDescent="0.3">
      <c r="AD68" s="2" t="s">
        <v>186</v>
      </c>
      <c r="AE68" s="215">
        <f>$AE$16</f>
        <v>0</v>
      </c>
      <c r="AF68" s="215"/>
      <c r="AG68" s="215"/>
      <c r="AH68" s="215"/>
      <c r="AI68" s="215"/>
      <c r="AJ68" s="215"/>
      <c r="AM68" s="23"/>
      <c r="AN68" s="23"/>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row>
    <row r="69" spans="2:75" ht="15" customHeight="1" x14ac:dyDescent="0.3">
      <c r="B69" s="1" t="s">
        <v>199</v>
      </c>
      <c r="AM69" s="23"/>
      <c r="AN69" s="23"/>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row>
    <row r="70" spans="2:75" ht="4.95" customHeight="1" x14ac:dyDescent="0.3">
      <c r="B70" s="1"/>
      <c r="AM70" s="23"/>
      <c r="AN70" s="23"/>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row>
    <row r="71" spans="2:75" ht="15" customHeight="1" x14ac:dyDescent="0.3">
      <c r="B71" s="24">
        <f>B25</f>
        <v>1</v>
      </c>
      <c r="C71" s="39" t="s">
        <v>319</v>
      </c>
      <c r="J71" s="24">
        <f>B33</f>
        <v>2</v>
      </c>
      <c r="K71" s="39" t="s">
        <v>273</v>
      </c>
      <c r="S71" s="24">
        <f>B39</f>
        <v>3</v>
      </c>
      <c r="T71" s="39" t="s">
        <v>208</v>
      </c>
      <c r="AC71" s="24">
        <f>B45</f>
        <v>4</v>
      </c>
      <c r="AD71" s="39" t="s">
        <v>269</v>
      </c>
      <c r="AM71" s="23"/>
      <c r="AN71" s="23"/>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row>
    <row r="72" spans="2:75" ht="4.95" customHeight="1" x14ac:dyDescent="0.3">
      <c r="B72" s="1"/>
      <c r="AM72" s="23"/>
      <c r="AN72" s="23"/>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row>
    <row r="73" spans="2:75" ht="15" customHeight="1" x14ac:dyDescent="0.3">
      <c r="B73" s="1"/>
      <c r="D73" s="137" t="str">
        <f>IF(AND(ISBLANK(O27),ISBLANK(O29)),"","X")</f>
        <v/>
      </c>
      <c r="E73" s="39" t="s">
        <v>323</v>
      </c>
      <c r="L73" s="137" t="str">
        <f>IF(ISBLANK(O35),"","X")</f>
        <v/>
      </c>
      <c r="M73" s="39" t="s">
        <v>200</v>
      </c>
      <c r="U73" s="137" t="str">
        <f>IF(ISBLANK(O41),"","X")</f>
        <v/>
      </c>
      <c r="V73" s="39" t="s">
        <v>200</v>
      </c>
      <c r="AE73" s="137" t="str">
        <f>IF(ISBLANK(O47),"","X")</f>
        <v/>
      </c>
      <c r="AF73" s="39" t="s">
        <v>328</v>
      </c>
      <c r="AM73" s="23"/>
      <c r="AN73" s="23"/>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row>
    <row r="74" spans="2:75" ht="4.95" customHeight="1" x14ac:dyDescent="0.3">
      <c r="B74" s="1"/>
      <c r="AM74" s="23"/>
      <c r="AN74" s="23"/>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row>
    <row r="75" spans="2:75" ht="15" customHeight="1" x14ac:dyDescent="0.3">
      <c r="B75" s="1"/>
      <c r="D75" s="137" t="str">
        <f>IF(ISBLANK(O31),"","X")</f>
        <v/>
      </c>
      <c r="E75" s="39" t="s">
        <v>324</v>
      </c>
      <c r="L75" s="137" t="str">
        <f>IF(ISBLANK(O37),"","X")</f>
        <v/>
      </c>
      <c r="M75" s="39" t="s">
        <v>201</v>
      </c>
      <c r="U75" s="137" t="str">
        <f>IF(ISBLANK(O43),"","X")</f>
        <v/>
      </c>
      <c r="V75" s="39" t="s">
        <v>201</v>
      </c>
      <c r="AE75" s="137" t="str">
        <f>IF(ISBLANK(O49),"","X")</f>
        <v/>
      </c>
      <c r="AF75" s="39" t="s">
        <v>201</v>
      </c>
      <c r="AM75" s="23"/>
      <c r="AN75" s="23"/>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row>
    <row r="76" spans="2:75" ht="4.95" customHeight="1" x14ac:dyDescent="0.3">
      <c r="B76" s="1"/>
      <c r="AM76" s="23"/>
      <c r="AN76" s="23"/>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row>
    <row r="77" spans="2:75" ht="15" customHeight="1" x14ac:dyDescent="0.3">
      <c r="B77" s="1"/>
      <c r="D77" s="137">
        <f>O31</f>
        <v>0</v>
      </c>
      <c r="E77" s="39" t="s">
        <v>325</v>
      </c>
      <c r="AM77" s="23"/>
      <c r="AN77" s="23"/>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row>
    <row r="78" spans="2:75" ht="4.95" customHeight="1" x14ac:dyDescent="0.3">
      <c r="B78" s="1"/>
      <c r="AM78" s="23"/>
      <c r="AN78" s="23"/>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row>
    <row r="79" spans="2:75" ht="15" customHeight="1" x14ac:dyDescent="0.3">
      <c r="B79" s="24">
        <v>7</v>
      </c>
      <c r="C79" s="39" t="s">
        <v>249</v>
      </c>
      <c r="P79" s="80">
        <v>6</v>
      </c>
      <c r="Q79" s="39" t="s">
        <v>248</v>
      </c>
      <c r="AM79" s="23"/>
      <c r="AN79" s="23"/>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row>
    <row r="80" spans="2:75" ht="4.95" customHeight="1" x14ac:dyDescent="0.3">
      <c r="AM80" s="23"/>
      <c r="AN80" s="23"/>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row>
    <row r="81" spans="2:75" ht="15" customHeight="1" x14ac:dyDescent="0.3">
      <c r="D81" s="137" t="str">
        <f>IF(ISBLANK(AG35),"","X")</f>
        <v/>
      </c>
      <c r="E81" s="39" t="s">
        <v>328</v>
      </c>
      <c r="R81" s="137" t="str">
        <f>IF(ISBLANK(AG27),"","X")</f>
        <v/>
      </c>
      <c r="S81" s="39" t="s">
        <v>210</v>
      </c>
      <c r="Z81" s="156"/>
      <c r="AA81" s="156"/>
      <c r="AB81" s="156"/>
      <c r="AC81" s="156"/>
      <c r="AE81" s="70"/>
      <c r="AF81" s="39" t="s">
        <v>202</v>
      </c>
      <c r="AH81" s="70"/>
      <c r="AI81" s="39" t="s">
        <v>203</v>
      </c>
      <c r="AM81" s="124">
        <f>IF(R81="X",2,1)</f>
        <v>1</v>
      </c>
      <c r="AN81" s="124">
        <f>IF(AND(ISBLANK(AE81),ISBLANK(AH81)),1,2)</f>
        <v>1</v>
      </c>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row>
    <row r="82" spans="2:75" ht="4.95" customHeight="1" x14ac:dyDescent="0.3">
      <c r="AM82" s="23"/>
      <c r="AN82" s="23"/>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row>
    <row r="83" spans="2:75" ht="15" customHeight="1" x14ac:dyDescent="0.3">
      <c r="D83" s="137" t="str">
        <f>IF(ISBLANK(AG37),"","X")</f>
        <v/>
      </c>
      <c r="E83" s="39" t="s">
        <v>201</v>
      </c>
      <c r="R83" s="137" t="str">
        <f>IF(ISBLANK(AG29),"","X")</f>
        <v/>
      </c>
      <c r="S83" s="39" t="s">
        <v>211</v>
      </c>
      <c r="Z83" s="156"/>
      <c r="AA83" s="156"/>
      <c r="AB83" s="156"/>
      <c r="AC83" s="156"/>
      <c r="AE83" s="70"/>
      <c r="AF83" s="39" t="s">
        <v>204</v>
      </c>
      <c r="AH83" s="70"/>
      <c r="AI83" s="39" t="s">
        <v>203</v>
      </c>
      <c r="AM83" s="124">
        <f>IF(R83="X",2,1)</f>
        <v>1</v>
      </c>
      <c r="AN83" s="124">
        <f>IF(AND(ISBLANK(AE83),ISBLANK(AH83)),1,2)</f>
        <v>1</v>
      </c>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row>
    <row r="84" spans="2:75" ht="4.95" customHeight="1" x14ac:dyDescent="0.3">
      <c r="B84" s="1"/>
      <c r="AM84" s="23"/>
      <c r="AN84" s="23"/>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row>
    <row r="85" spans="2:75" ht="15" customHeight="1" x14ac:dyDescent="0.3">
      <c r="B85" s="1"/>
      <c r="R85" s="137" t="str">
        <f>IF(ISBLANK(AG31),"","X")</f>
        <v/>
      </c>
      <c r="S85" s="39" t="s">
        <v>326</v>
      </c>
      <c r="AM85" s="23"/>
      <c r="AN85" s="23"/>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row>
    <row r="86" spans="2:75" ht="4.95" customHeight="1" x14ac:dyDescent="0.3">
      <c r="B86" s="1"/>
      <c r="AM86" s="23"/>
      <c r="AN86" s="23"/>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row>
    <row r="87" spans="2:75" ht="15" customHeight="1" x14ac:dyDescent="0.3">
      <c r="B87" s="24">
        <f>T39</f>
        <v>8</v>
      </c>
      <c r="C87" s="39" t="s">
        <v>14</v>
      </c>
      <c r="P87" s="24">
        <f>T45</f>
        <v>9</v>
      </c>
      <c r="Q87" s="39" t="s">
        <v>265</v>
      </c>
      <c r="AM87" s="23"/>
      <c r="AN87" s="23"/>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row>
    <row r="88" spans="2:75" ht="4.95" customHeight="1" x14ac:dyDescent="0.3">
      <c r="AM88" s="23"/>
      <c r="AN88" s="23"/>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row>
    <row r="89" spans="2:75" ht="15" customHeight="1" x14ac:dyDescent="0.3">
      <c r="D89" s="137" t="str">
        <f>IF(ISBLANK(AG41),"","X")</f>
        <v/>
      </c>
      <c r="E89" s="39" t="s">
        <v>200</v>
      </c>
      <c r="R89" s="137" t="str">
        <f>IF(ISBLANK(AG47),"","X")</f>
        <v/>
      </c>
      <c r="S89" s="39" t="s">
        <v>209</v>
      </c>
      <c r="Z89" s="156"/>
      <c r="AA89" s="156"/>
      <c r="AB89" s="156"/>
      <c r="AC89" s="156"/>
      <c r="AE89" s="70"/>
      <c r="AF89" s="39" t="s">
        <v>202</v>
      </c>
      <c r="AH89" s="70"/>
      <c r="AI89" s="39" t="s">
        <v>203</v>
      </c>
      <c r="AM89" s="124">
        <f>IF(R89="X",2,1)</f>
        <v>1</v>
      </c>
      <c r="AN89" s="124">
        <f>IF(AND(ISBLANK(AE89),ISBLANK(AH89)),1,2)</f>
        <v>1</v>
      </c>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row>
    <row r="90" spans="2:75" ht="4.95" customHeight="1" x14ac:dyDescent="0.3">
      <c r="AM90" s="23"/>
      <c r="AN90" s="23"/>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row>
    <row r="91" spans="2:75" ht="15" customHeight="1" x14ac:dyDescent="0.3">
      <c r="D91" s="137" t="str">
        <f>IF(ISBLANK(AG43),"","X")</f>
        <v/>
      </c>
      <c r="E91" s="39" t="s">
        <v>201</v>
      </c>
      <c r="R91" s="137" t="str">
        <f>IF(ISBLANK(AG49),"","X")</f>
        <v/>
      </c>
      <c r="S91" s="39" t="s">
        <v>210</v>
      </c>
      <c r="Z91" s="156"/>
      <c r="AA91" s="156"/>
      <c r="AB91" s="156"/>
      <c r="AC91" s="156"/>
      <c r="AE91" s="70"/>
      <c r="AF91" s="39" t="s">
        <v>204</v>
      </c>
      <c r="AH91" s="70"/>
      <c r="AI91" s="39" t="s">
        <v>203</v>
      </c>
      <c r="AM91" s="124">
        <f>IF(R91="X",2,1)</f>
        <v>1</v>
      </c>
      <c r="AN91" s="124">
        <f>IF(AND(ISBLANK(AE91),ISBLANK(AH91)),1,2)</f>
        <v>1</v>
      </c>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row>
    <row r="92" spans="2:75" ht="4.95" customHeight="1" x14ac:dyDescent="0.3">
      <c r="R92" s="4"/>
      <c r="AM92" s="23"/>
      <c r="AN92" s="23"/>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row>
    <row r="93" spans="2:75" ht="15" customHeight="1" x14ac:dyDescent="0.3">
      <c r="R93" s="137" t="str">
        <f>IF(ISBLANK(AG51),"","X")</f>
        <v/>
      </c>
      <c r="S93" s="39" t="s">
        <v>200</v>
      </c>
      <c r="AM93" s="23"/>
      <c r="AN93" s="23"/>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row>
    <row r="94" spans="2:75" ht="4.95" customHeight="1" x14ac:dyDescent="0.3">
      <c r="R94" s="4"/>
      <c r="AM94" s="23"/>
      <c r="AN94" s="23"/>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row>
    <row r="95" spans="2:75" ht="15" customHeight="1" x14ac:dyDescent="0.3">
      <c r="R95" s="137" t="str">
        <f>IF(ISBLANK(AG53),"","X")</f>
        <v/>
      </c>
      <c r="S95" s="39" t="s">
        <v>327</v>
      </c>
      <c r="AM95" s="23"/>
      <c r="AN95" s="23"/>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row>
    <row r="96" spans="2:75" ht="4.95" customHeight="1" x14ac:dyDescent="0.3">
      <c r="AM96" s="23"/>
      <c r="AN96" s="23"/>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row>
    <row r="97" spans="2:75" ht="15" customHeight="1" x14ac:dyDescent="0.3">
      <c r="B97" s="1" t="s">
        <v>142</v>
      </c>
      <c r="AD97" s="2"/>
      <c r="AE97" s="4"/>
      <c r="AF97" s="4"/>
      <c r="AG97" s="4"/>
      <c r="AH97" s="4"/>
      <c r="AI97" s="4"/>
      <c r="AJ97" s="4"/>
      <c r="AM97" s="23"/>
      <c r="AN97" s="23"/>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row>
    <row r="98" spans="2:75" ht="15" customHeight="1" x14ac:dyDescent="0.3">
      <c r="E98" s="2" t="s">
        <v>144</v>
      </c>
      <c r="F98" s="155"/>
      <c r="G98" s="155"/>
      <c r="H98" s="155"/>
      <c r="I98" s="155"/>
      <c r="J98" s="155"/>
      <c r="K98" s="155"/>
      <c r="L98" s="155"/>
      <c r="M98" s="155"/>
      <c r="N98" s="155"/>
      <c r="O98" s="155"/>
      <c r="P98" s="155"/>
      <c r="Q98" s="155"/>
      <c r="R98" s="155"/>
      <c r="S98" s="155"/>
      <c r="T98" s="155"/>
      <c r="U98" s="155"/>
      <c r="AD98" s="2"/>
      <c r="AE98" s="4"/>
      <c r="AF98" s="4"/>
      <c r="AG98" s="4"/>
      <c r="AH98" s="4"/>
      <c r="AI98" s="4"/>
      <c r="AJ98" s="4"/>
      <c r="AM98" s="23"/>
      <c r="AN98" s="23"/>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row>
    <row r="99" spans="2:75" ht="15" customHeight="1" x14ac:dyDescent="0.3">
      <c r="E99" s="2" t="s">
        <v>145</v>
      </c>
      <c r="F99" s="167"/>
      <c r="G99" s="167"/>
      <c r="H99" s="167"/>
      <c r="I99" s="167"/>
      <c r="J99" s="167"/>
      <c r="K99" s="167"/>
      <c r="L99" s="167"/>
      <c r="M99" s="167"/>
      <c r="N99" s="167"/>
      <c r="O99" s="167"/>
      <c r="P99" s="167"/>
      <c r="Q99" s="167"/>
      <c r="R99" s="167"/>
      <c r="S99" s="167"/>
      <c r="T99" s="167"/>
      <c r="U99" s="167"/>
      <c r="AD99" s="2"/>
      <c r="AE99" s="4"/>
      <c r="AF99" s="4"/>
      <c r="AG99" s="4"/>
      <c r="AH99" s="4"/>
      <c r="AI99" s="4"/>
      <c r="AJ99" s="4"/>
      <c r="AM99" s="23"/>
      <c r="AN99" s="23"/>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row>
    <row r="100" spans="2:75" ht="15" customHeight="1" x14ac:dyDescent="0.3">
      <c r="E100" s="2" t="s">
        <v>446</v>
      </c>
      <c r="F100" s="167"/>
      <c r="G100" s="167"/>
      <c r="H100" s="167"/>
      <c r="I100" s="167"/>
      <c r="J100" s="167"/>
      <c r="K100" s="167"/>
      <c r="L100" s="167"/>
      <c r="M100" s="167"/>
      <c r="N100" s="167"/>
      <c r="O100" s="167"/>
      <c r="P100" s="167"/>
      <c r="Q100" s="167"/>
      <c r="R100" s="167"/>
      <c r="S100" s="167"/>
      <c r="T100" s="167"/>
      <c r="U100" s="167"/>
      <c r="X100" s="2" t="s">
        <v>148</v>
      </c>
      <c r="Y100" s="163"/>
      <c r="Z100" s="163"/>
      <c r="AA100" s="163"/>
      <c r="AB100" s="163"/>
      <c r="AD100" s="2"/>
      <c r="AF100" s="2" t="s">
        <v>149</v>
      </c>
      <c r="AG100" s="163"/>
      <c r="AH100" s="163"/>
      <c r="AI100" s="163"/>
      <c r="AJ100" s="163"/>
      <c r="AM100" s="23"/>
      <c r="AN100" s="23"/>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row>
    <row r="101" spans="2:75" ht="15" customHeight="1" x14ac:dyDescent="0.3">
      <c r="E101" s="2" t="s">
        <v>146</v>
      </c>
      <c r="F101" s="167"/>
      <c r="G101" s="167"/>
      <c r="H101" s="167"/>
      <c r="I101" s="167"/>
      <c r="J101" s="167"/>
      <c r="K101" s="167"/>
      <c r="L101" s="167"/>
      <c r="M101" s="167"/>
      <c r="N101" s="167"/>
      <c r="O101" s="167"/>
      <c r="P101" s="167"/>
      <c r="Q101" s="167"/>
      <c r="R101" s="167"/>
      <c r="S101" s="167"/>
      <c r="T101" s="167"/>
      <c r="U101" s="167"/>
      <c r="AD101" s="2" t="s">
        <v>150</v>
      </c>
      <c r="AE101" s="201"/>
      <c r="AF101" s="201"/>
      <c r="AG101" s="201"/>
      <c r="AH101" s="201"/>
      <c r="AI101" s="201"/>
      <c r="AJ101" s="201"/>
      <c r="AM101" s="23"/>
      <c r="AN101" s="23"/>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row>
    <row r="102" spans="2:75" ht="4.95" customHeight="1" x14ac:dyDescent="0.3">
      <c r="B102" s="2"/>
      <c r="AD102" s="2"/>
      <c r="AE102" s="4"/>
      <c r="AF102" s="4"/>
      <c r="AG102" s="4"/>
      <c r="AH102" s="4"/>
      <c r="AI102" s="4"/>
      <c r="AJ102" s="4"/>
      <c r="AM102" s="23"/>
      <c r="AN102" s="23"/>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row>
    <row r="103" spans="2:75" ht="15" customHeight="1" x14ac:dyDescent="0.3">
      <c r="B103" s="1" t="s">
        <v>401</v>
      </c>
      <c r="X103" s="22"/>
      <c r="Y103" s="39" t="s">
        <v>143</v>
      </c>
      <c r="AF103" s="4"/>
      <c r="AG103" s="4"/>
      <c r="AH103" s="4"/>
      <c r="AI103" s="4"/>
      <c r="AJ103" s="4"/>
      <c r="AM103" s="23"/>
      <c r="AN103" s="124">
        <f>IF(ISBLANK(X103),1,2)</f>
        <v>1</v>
      </c>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row>
    <row r="104" spans="2:75" ht="15" customHeight="1" x14ac:dyDescent="0.3">
      <c r="E104" s="2" t="s">
        <v>147</v>
      </c>
      <c r="F104" s="155"/>
      <c r="G104" s="155"/>
      <c r="H104" s="155"/>
      <c r="I104" s="155"/>
      <c r="J104" s="155"/>
      <c r="K104" s="155"/>
      <c r="L104" s="155"/>
      <c r="M104" s="155"/>
      <c r="N104" s="155"/>
      <c r="O104" s="155"/>
      <c r="P104" s="155"/>
      <c r="Q104" s="155"/>
      <c r="R104" s="155"/>
      <c r="S104" s="155"/>
      <c r="T104" s="155"/>
      <c r="U104" s="155"/>
      <c r="AD104" s="2"/>
      <c r="AE104" s="4"/>
      <c r="AF104" s="4"/>
      <c r="AG104" s="4"/>
      <c r="AH104" s="4"/>
      <c r="AI104" s="4"/>
      <c r="AJ104" s="4"/>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row>
    <row r="105" spans="2:75" ht="15" customHeight="1" x14ac:dyDescent="0.3">
      <c r="E105" s="2" t="s">
        <v>145</v>
      </c>
      <c r="F105" s="167"/>
      <c r="G105" s="167"/>
      <c r="H105" s="167"/>
      <c r="I105" s="167"/>
      <c r="J105" s="167"/>
      <c r="K105" s="167"/>
      <c r="L105" s="167"/>
      <c r="M105" s="167"/>
      <c r="N105" s="167"/>
      <c r="O105" s="167"/>
      <c r="P105" s="167"/>
      <c r="Q105" s="167"/>
      <c r="R105" s="167"/>
      <c r="S105" s="167"/>
      <c r="T105" s="167"/>
      <c r="U105" s="167"/>
      <c r="AD105" s="2"/>
      <c r="AE105" s="4"/>
      <c r="AF105" s="4"/>
      <c r="AG105" s="4"/>
      <c r="AH105" s="4"/>
      <c r="AI105" s="4"/>
      <c r="AJ105" s="4"/>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row>
    <row r="106" spans="2:75" ht="15" customHeight="1" x14ac:dyDescent="0.3">
      <c r="E106" s="2" t="s">
        <v>446</v>
      </c>
      <c r="F106" s="167"/>
      <c r="G106" s="167"/>
      <c r="H106" s="167"/>
      <c r="I106" s="167"/>
      <c r="J106" s="167"/>
      <c r="K106" s="167"/>
      <c r="L106" s="167"/>
      <c r="M106" s="167"/>
      <c r="N106" s="167"/>
      <c r="O106" s="167"/>
      <c r="P106" s="167"/>
      <c r="Q106" s="167"/>
      <c r="R106" s="167"/>
      <c r="S106" s="167"/>
      <c r="T106" s="167"/>
      <c r="U106" s="167"/>
      <c r="X106" s="2" t="s">
        <v>148</v>
      </c>
      <c r="Y106" s="163"/>
      <c r="Z106" s="163"/>
      <c r="AA106" s="163"/>
      <c r="AB106" s="163"/>
      <c r="AD106" s="2"/>
      <c r="AF106" s="2" t="s">
        <v>149</v>
      </c>
      <c r="AG106" s="163"/>
      <c r="AH106" s="163"/>
      <c r="AI106" s="163"/>
      <c r="AJ106" s="163"/>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row>
    <row r="107" spans="2:75" ht="15" customHeight="1" x14ac:dyDescent="0.3">
      <c r="E107" s="2" t="s">
        <v>152</v>
      </c>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row>
    <row r="108" spans="2:75" ht="15" customHeight="1" x14ac:dyDescent="0.3">
      <c r="E108" s="2" t="s">
        <v>144</v>
      </c>
      <c r="F108" s="155"/>
      <c r="G108" s="155"/>
      <c r="H108" s="155"/>
      <c r="I108" s="155"/>
      <c r="J108" s="155"/>
      <c r="K108" s="155"/>
      <c r="L108" s="155"/>
      <c r="M108" s="155"/>
      <c r="N108" s="155"/>
      <c r="O108" s="155"/>
      <c r="P108" s="155"/>
      <c r="Q108" s="155"/>
      <c r="R108" s="155"/>
      <c r="S108" s="155"/>
      <c r="T108" s="155"/>
      <c r="U108" s="155"/>
      <c r="AD108" s="2"/>
      <c r="AE108" s="4"/>
      <c r="AF108" s="4"/>
      <c r="AG108" s="4"/>
      <c r="AH108" s="4"/>
      <c r="AI108" s="4"/>
      <c r="AJ108" s="4"/>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row>
    <row r="109" spans="2:75" ht="15" customHeight="1" x14ac:dyDescent="0.3">
      <c r="E109" s="2" t="s">
        <v>146</v>
      </c>
      <c r="F109" s="167"/>
      <c r="G109" s="167"/>
      <c r="H109" s="167"/>
      <c r="I109" s="167"/>
      <c r="J109" s="167"/>
      <c r="K109" s="167"/>
      <c r="L109" s="167"/>
      <c r="M109" s="167"/>
      <c r="N109" s="167"/>
      <c r="O109" s="167"/>
      <c r="P109" s="167"/>
      <c r="Q109" s="167"/>
      <c r="R109" s="167"/>
      <c r="S109" s="167"/>
      <c r="T109" s="167"/>
      <c r="U109" s="167"/>
      <c r="AD109" s="2" t="s">
        <v>150</v>
      </c>
      <c r="AE109" s="201"/>
      <c r="AF109" s="201"/>
      <c r="AG109" s="201"/>
      <c r="AH109" s="201"/>
      <c r="AI109" s="201"/>
      <c r="AJ109" s="201"/>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row>
    <row r="110" spans="2:75" ht="15" customHeight="1" x14ac:dyDescent="0.3">
      <c r="AD110" s="2"/>
      <c r="AE110" s="4"/>
      <c r="AF110" s="4"/>
      <c r="AG110" s="4"/>
      <c r="AH110" s="4"/>
      <c r="AI110" s="4"/>
      <c r="AJ110" s="4"/>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row>
    <row r="111" spans="2:75" ht="15" customHeight="1" x14ac:dyDescent="0.3">
      <c r="B111" s="5" t="s">
        <v>23</v>
      </c>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row>
    <row r="112" spans="2:75" ht="15" customHeight="1" x14ac:dyDescent="0.3">
      <c r="B112" s="223"/>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row>
    <row r="113" spans="2:75" ht="15" customHeight="1" x14ac:dyDescent="0.3">
      <c r="B113" s="226"/>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8"/>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row>
    <row r="114" spans="2:75" ht="15" customHeight="1" x14ac:dyDescent="0.3">
      <c r="B114" s="226"/>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8"/>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row>
    <row r="115" spans="2:75" ht="15" customHeight="1" x14ac:dyDescent="0.3">
      <c r="B115" s="226"/>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8"/>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row>
    <row r="116" spans="2:75" ht="15" customHeight="1" x14ac:dyDescent="0.3">
      <c r="B116" s="226"/>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8"/>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row>
    <row r="117" spans="2:75" ht="15" customHeight="1" x14ac:dyDescent="0.3">
      <c r="B117" s="226"/>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8"/>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row>
    <row r="118" spans="2:75" ht="15" customHeight="1" x14ac:dyDescent="0.3">
      <c r="B118" s="229"/>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1"/>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row>
    <row r="119" spans="2:75" ht="15" customHeight="1" x14ac:dyDescent="0.3">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row>
    <row r="120" spans="2:75" ht="15" customHeight="1" x14ac:dyDescent="0.3">
      <c r="B120" s="142">
        <f>Tables!$C$13</f>
        <v>45383</v>
      </c>
      <c r="C120" s="142"/>
      <c r="D120" s="142"/>
      <c r="E120" s="142"/>
      <c r="F120" s="142"/>
      <c r="G120" s="142"/>
      <c r="H120" s="142"/>
      <c r="R120" s="143" t="s">
        <v>345</v>
      </c>
      <c r="S120" s="143"/>
      <c r="T120" s="143"/>
      <c r="U120" s="143"/>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row>
    <row r="121" spans="2:75" ht="15" customHeight="1" x14ac:dyDescent="0.3">
      <c r="D121" s="2" t="s">
        <v>144</v>
      </c>
      <c r="E121" s="185">
        <f>$E$15</f>
        <v>0</v>
      </c>
      <c r="F121" s="185"/>
      <c r="G121" s="185"/>
      <c r="H121" s="185"/>
      <c r="I121" s="185"/>
      <c r="J121" s="185"/>
      <c r="K121" s="185"/>
      <c r="L121" s="185"/>
      <c r="M121" s="185"/>
      <c r="N121" s="185"/>
      <c r="O121" s="185"/>
      <c r="P121" s="185"/>
      <c r="Q121" s="185"/>
      <c r="R121" s="185"/>
      <c r="S121" s="185"/>
      <c r="T121" s="185"/>
      <c r="U121" s="185"/>
      <c r="V121" s="185"/>
      <c r="W121" s="185"/>
      <c r="X121" s="185"/>
      <c r="Y121" s="185"/>
      <c r="AD121" s="2" t="s">
        <v>185</v>
      </c>
      <c r="AE121" s="214">
        <f>$AE$15</f>
        <v>0</v>
      </c>
      <c r="AF121" s="215"/>
      <c r="AG121" s="215"/>
      <c r="AH121" s="215"/>
      <c r="AI121" s="215"/>
      <c r="AJ121" s="21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row>
    <row r="122" spans="2:75" ht="15" customHeight="1" x14ac:dyDescent="0.3">
      <c r="AD122" s="2" t="s">
        <v>186</v>
      </c>
      <c r="AE122" s="215">
        <f>$AE$16</f>
        <v>0</v>
      </c>
      <c r="AF122" s="215"/>
      <c r="AG122" s="215"/>
      <c r="AH122" s="215"/>
      <c r="AI122" s="215"/>
      <c r="AJ122" s="21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row>
    <row r="123" spans="2:75" ht="15" customHeight="1" x14ac:dyDescent="0.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row>
    <row r="124" spans="2:75" ht="15" customHeight="1" x14ac:dyDescent="0.3">
      <c r="B124" s="1" t="s">
        <v>399</v>
      </c>
      <c r="C124" s="1"/>
      <c r="D124" s="1"/>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row>
    <row r="125" spans="2:75" ht="4.95" customHeight="1" x14ac:dyDescent="0.3">
      <c r="B125" s="1"/>
      <c r="C125" s="1"/>
      <c r="D125" s="1"/>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row>
    <row r="126" spans="2:75" ht="15" customHeight="1" x14ac:dyDescent="0.3">
      <c r="B126" s="39" t="s">
        <v>398</v>
      </c>
      <c r="C126" s="1"/>
      <c r="D126" s="1"/>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row>
    <row r="127" spans="2:75" ht="4.95" customHeight="1" x14ac:dyDescent="0.3">
      <c r="C127" s="1"/>
      <c r="D127" s="1"/>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row>
    <row r="128" spans="2:75" ht="15" customHeight="1" x14ac:dyDescent="0.3">
      <c r="B128" s="70"/>
      <c r="D128" s="112" t="str">
        <f>"Is being properly maintained in accordance with the "&amp;Tables!C23&amp;"'s requirements and functioning as it was designed."</f>
        <v>Is being properly maintained in accordance with the City's requirements and functioning as it was designed.</v>
      </c>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M128" s="123">
        <f>IF(AND(ISBLANK(B128),ISBLANK(B130),ISBLANK(B132)),1,2)</f>
        <v>1</v>
      </c>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row>
    <row r="129" spans="2:75" ht="4.95" customHeight="1" x14ac:dyDescent="0.3">
      <c r="B129" s="1"/>
      <c r="C129" s="1"/>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row>
    <row r="130" spans="2:75" ht="15" customHeight="1" x14ac:dyDescent="0.3">
      <c r="B130" s="70"/>
      <c r="C130" s="1"/>
      <c r="D130" s="198" t="s">
        <v>397</v>
      </c>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row>
    <row r="131" spans="2:75" ht="15" customHeight="1" x14ac:dyDescent="0.3">
      <c r="B131" s="1"/>
      <c r="C131" s="1"/>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row>
    <row r="132" spans="2:75" ht="15" customHeight="1" x14ac:dyDescent="0.3">
      <c r="B132" s="70"/>
      <c r="C132" s="1"/>
      <c r="D132" s="114" t="s">
        <v>459</v>
      </c>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row>
    <row r="133" spans="2:75" ht="4.95" customHeight="1" x14ac:dyDescent="0.3">
      <c r="B133" s="1"/>
      <c r="C133" s="1"/>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row>
    <row r="134" spans="2:75" ht="15" customHeight="1" x14ac:dyDescent="0.3">
      <c r="D134" s="2" t="s">
        <v>205</v>
      </c>
      <c r="E134" s="155"/>
      <c r="F134" s="155"/>
      <c r="G134" s="155"/>
      <c r="H134" s="155"/>
      <c r="I134" s="155"/>
      <c r="J134" s="155"/>
      <c r="K134" s="155"/>
      <c r="L134" s="155"/>
      <c r="M134" s="155"/>
      <c r="N134" s="155"/>
      <c r="O134" s="155"/>
      <c r="P134" s="155"/>
      <c r="Q134" s="155"/>
      <c r="R134" s="155"/>
      <c r="S134" s="155"/>
      <c r="T134" s="155"/>
      <c r="U134" s="155"/>
      <c r="V134" s="155"/>
      <c r="Y134" s="11" t="s">
        <v>394</v>
      </c>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row>
    <row r="135" spans="2:75" ht="15" customHeight="1" x14ac:dyDescent="0.3">
      <c r="D135" s="2" t="s">
        <v>144</v>
      </c>
      <c r="E135" s="167"/>
      <c r="F135" s="167"/>
      <c r="G135" s="167"/>
      <c r="H135" s="167"/>
      <c r="I135" s="167"/>
      <c r="J135" s="167"/>
      <c r="K135" s="167"/>
      <c r="L135" s="167"/>
      <c r="M135" s="167"/>
      <c r="N135" s="167"/>
      <c r="O135" s="167"/>
      <c r="P135" s="167"/>
      <c r="Q135" s="167"/>
      <c r="R135" s="167"/>
      <c r="S135" s="167"/>
      <c r="T135" s="167"/>
      <c r="U135" s="167"/>
      <c r="V135" s="167"/>
      <c r="Z135" s="220"/>
      <c r="AA135" s="220"/>
      <c r="AB135" s="220"/>
      <c r="AC135" s="220"/>
      <c r="AD135" s="220"/>
      <c r="AE135" s="220"/>
      <c r="AF135" s="220"/>
      <c r="AG135" s="220"/>
      <c r="AH135" s="220"/>
      <c r="AI135" s="220"/>
      <c r="AJ135" s="220"/>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row>
    <row r="136" spans="2:75" ht="15" customHeight="1" x14ac:dyDescent="0.3">
      <c r="D136" s="2" t="s">
        <v>145</v>
      </c>
      <c r="E136" s="167"/>
      <c r="F136" s="167"/>
      <c r="G136" s="167"/>
      <c r="H136" s="167"/>
      <c r="I136" s="167"/>
      <c r="J136" s="167"/>
      <c r="K136" s="167"/>
      <c r="L136" s="167"/>
      <c r="M136" s="167"/>
      <c r="N136" s="78"/>
      <c r="O136" s="78"/>
      <c r="P136" s="78"/>
      <c r="Q136" s="136" t="s">
        <v>148</v>
      </c>
      <c r="R136" s="167"/>
      <c r="S136" s="167"/>
      <c r="T136" s="167"/>
      <c r="U136" s="167"/>
      <c r="V136" s="167"/>
      <c r="Y136" s="113"/>
      <c r="Z136" s="221"/>
      <c r="AA136" s="221"/>
      <c r="AB136" s="221"/>
      <c r="AC136" s="221"/>
      <c r="AD136" s="221"/>
      <c r="AE136" s="221"/>
      <c r="AF136" s="221"/>
      <c r="AG136" s="221"/>
      <c r="AH136" s="221"/>
      <c r="AI136" s="221"/>
      <c r="AJ136" s="221"/>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row>
    <row r="137" spans="2:75" ht="15" customHeight="1" x14ac:dyDescent="0.3">
      <c r="D137" s="2" t="s">
        <v>446</v>
      </c>
      <c r="E137" s="167"/>
      <c r="F137" s="167"/>
      <c r="G137" s="167"/>
      <c r="H137" s="167"/>
      <c r="I137" s="167"/>
      <c r="J137" s="167"/>
      <c r="K137" s="167"/>
      <c r="L137" s="167"/>
      <c r="M137" s="167"/>
      <c r="Q137" s="2" t="s">
        <v>149</v>
      </c>
      <c r="R137" s="167"/>
      <c r="S137" s="167"/>
      <c r="T137" s="167"/>
      <c r="U137" s="167"/>
      <c r="V137" s="167"/>
      <c r="Y137" s="39" t="s">
        <v>395</v>
      </c>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row>
    <row r="138" spans="2:75" ht="15" customHeight="1" x14ac:dyDescent="0.3">
      <c r="C138" s="79"/>
      <c r="D138" s="2" t="s">
        <v>146</v>
      </c>
      <c r="E138" s="216"/>
      <c r="F138" s="216"/>
      <c r="G138" s="216"/>
      <c r="H138" s="216"/>
      <c r="I138" s="216"/>
      <c r="J138" s="216"/>
      <c r="K138" s="216"/>
      <c r="L138" s="216"/>
      <c r="M138" s="216"/>
      <c r="N138" s="179"/>
      <c r="O138" s="179"/>
      <c r="P138" s="179"/>
      <c r="Q138" s="179"/>
      <c r="R138" s="216"/>
      <c r="S138" s="216"/>
      <c r="T138" s="216"/>
      <c r="U138" s="216"/>
      <c r="V138" s="216"/>
      <c r="W138" s="79"/>
      <c r="X138" s="79"/>
      <c r="Z138" s="222" t="str">
        <f>IF(ISBLANK(Z135),"Type?",VLOOKUP(Z135,Table10[#All],2))</f>
        <v>Type?</v>
      </c>
      <c r="AA138" s="222"/>
      <c r="AB138" s="222"/>
      <c r="AC138" s="222"/>
      <c r="AD138" s="222"/>
      <c r="AE138" s="155"/>
      <c r="AF138" s="155"/>
      <c r="AG138" s="155"/>
      <c r="AH138" s="155"/>
      <c r="AI138" s="155"/>
      <c r="AJ138" s="15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row>
    <row r="139" spans="2:75" ht="15" customHeight="1" x14ac:dyDescent="0.3">
      <c r="D139" s="2" t="s">
        <v>150</v>
      </c>
      <c r="E139" s="201"/>
      <c r="F139" s="201"/>
      <c r="G139" s="201"/>
      <c r="H139" s="201"/>
      <c r="I139" s="201"/>
      <c r="U139" s="67"/>
      <c r="V139" s="67"/>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row>
    <row r="140" spans="2:75" ht="15" customHeight="1" x14ac:dyDescent="0.3">
      <c r="D140" s="2"/>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row>
    <row r="141" spans="2:75" ht="15" customHeight="1" x14ac:dyDescent="0.3">
      <c r="D141" s="2" t="s">
        <v>206</v>
      </c>
      <c r="E141" s="103"/>
      <c r="F141" s="103"/>
      <c r="G141" s="103"/>
      <c r="H141" s="103"/>
      <c r="I141" s="103"/>
      <c r="J141" s="103"/>
      <c r="K141" s="103"/>
      <c r="L141" s="103"/>
      <c r="M141" s="103"/>
      <c r="N141" s="103"/>
      <c r="O141" s="103"/>
      <c r="P141" s="103"/>
      <c r="Q141" s="103"/>
      <c r="R141" s="103"/>
      <c r="S141" s="103"/>
      <c r="T141" s="103"/>
      <c r="U141" s="103"/>
      <c r="V141" s="103"/>
      <c r="Y141" s="2" t="s">
        <v>21</v>
      </c>
      <c r="Z141" s="219"/>
      <c r="AA141" s="219"/>
      <c r="AB141" s="219"/>
      <c r="AC141" s="219"/>
      <c r="AD141" s="219"/>
      <c r="AE141" s="219"/>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row>
    <row r="142" spans="2:75" ht="15" customHeight="1" x14ac:dyDescent="0.3">
      <c r="D142" s="2"/>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row>
    <row r="143" spans="2:75" ht="15" customHeight="1" x14ac:dyDescent="0.3">
      <c r="D143" s="2"/>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row>
    <row r="144" spans="2:75" ht="15" customHeight="1" x14ac:dyDescent="0.3">
      <c r="D144" s="2"/>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row>
    <row r="145" spans="4:75" ht="15" customHeight="1" x14ac:dyDescent="0.3">
      <c r="D145" s="2"/>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row>
    <row r="146" spans="4:75" ht="15" customHeight="1" x14ac:dyDescent="0.3">
      <c r="D146" s="2"/>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row>
    <row r="147" spans="4:75" ht="15" customHeight="1" x14ac:dyDescent="0.3">
      <c r="D147" s="2"/>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row>
    <row r="148" spans="4:75" ht="15" customHeight="1" x14ac:dyDescent="0.3">
      <c r="D148" s="2"/>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row>
    <row r="149" spans="4:75" ht="15" customHeight="1" x14ac:dyDescent="0.3">
      <c r="D149" s="2"/>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row>
    <row r="150" spans="4:75" ht="15" customHeight="1" x14ac:dyDescent="0.3">
      <c r="D150" s="2"/>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row>
    <row r="151" spans="4:75" ht="15" customHeight="1" x14ac:dyDescent="0.3">
      <c r="D151" s="2"/>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row>
    <row r="152" spans="4:75" ht="15" customHeight="1" x14ac:dyDescent="0.3">
      <c r="D152" s="2"/>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row>
    <row r="153" spans="4:75" ht="15" customHeight="1" x14ac:dyDescent="0.3">
      <c r="D153" s="2"/>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row>
    <row r="154" spans="4:75" ht="15" customHeight="1" x14ac:dyDescent="0.3">
      <c r="D154" s="2"/>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row>
    <row r="155" spans="4:75" ht="15" customHeight="1" x14ac:dyDescent="0.3">
      <c r="D155" s="2"/>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row>
    <row r="156" spans="4:75" ht="15" customHeight="1" x14ac:dyDescent="0.3">
      <c r="D156" s="2"/>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row>
    <row r="157" spans="4:75" ht="15" customHeight="1" x14ac:dyDescent="0.3">
      <c r="D157" s="2"/>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row>
    <row r="158" spans="4:75" ht="15" customHeight="1" x14ac:dyDescent="0.3">
      <c r="D158" s="2"/>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row>
    <row r="159" spans="4:75" ht="15" customHeight="1" x14ac:dyDescent="0.3">
      <c r="D159" s="2"/>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row>
    <row r="160" spans="4:75" ht="15" customHeight="1" x14ac:dyDescent="0.3">
      <c r="D160" s="2"/>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row>
    <row r="161" spans="2:75" ht="15" customHeight="1" x14ac:dyDescent="0.3">
      <c r="D161" s="2"/>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row>
    <row r="162" spans="2:75" ht="15" customHeight="1" x14ac:dyDescent="0.3">
      <c r="D162" s="2"/>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row>
    <row r="163" spans="2:75" ht="15" customHeight="1" x14ac:dyDescent="0.3">
      <c r="D163" s="2"/>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row>
    <row r="164" spans="2:75" ht="15" customHeight="1" x14ac:dyDescent="0.3">
      <c r="D164" s="2"/>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row>
    <row r="165" spans="2:75" ht="15" customHeight="1" x14ac:dyDescent="0.3">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row>
    <row r="166" spans="2:75" ht="15" customHeight="1" x14ac:dyDescent="0.3">
      <c r="B166" s="142">
        <f>Tables!$C$13</f>
        <v>45383</v>
      </c>
      <c r="C166" s="142"/>
      <c r="D166" s="142"/>
      <c r="E166" s="142"/>
      <c r="F166" s="142"/>
      <c r="G166" s="142"/>
      <c r="H166" s="142"/>
      <c r="R166" s="143" t="s">
        <v>344</v>
      </c>
      <c r="S166" s="143"/>
      <c r="T166" s="143"/>
      <c r="U166" s="143"/>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row>
    <row r="167" spans="2:75" ht="15" customHeight="1" x14ac:dyDescent="0.3">
      <c r="D167" s="2"/>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row>
    <row r="168" spans="2:75" ht="15" customHeight="1" x14ac:dyDescent="0.3"/>
    <row r="169" spans="2:75" ht="15" hidden="1" customHeight="1" x14ac:dyDescent="0.3"/>
    <row r="170" spans="2:75" ht="15" hidden="1" customHeight="1" x14ac:dyDescent="0.3"/>
    <row r="171" spans="2:75" ht="15" hidden="1" customHeight="1" x14ac:dyDescent="0.3"/>
    <row r="172" spans="2:75" ht="15" hidden="1" customHeight="1" x14ac:dyDescent="0.3"/>
    <row r="173" spans="2:75" ht="15" hidden="1" customHeight="1" x14ac:dyDescent="0.3"/>
    <row r="174" spans="2:75" ht="15" hidden="1" customHeight="1" x14ac:dyDescent="0.3"/>
    <row r="175" spans="2:75" ht="15" hidden="1" customHeight="1" x14ac:dyDescent="0.3"/>
    <row r="176" spans="2:75"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sheetData>
  <sheetProtection algorithmName="SHA-512" hashValue="0z434I1W1h9Bvts7tsvi52kpx57i7NVqXaKYqIkt3bs6AuKVeVGqf/RegLMHVH67xKH1s9sbo5/5r8fCEFY6Ew==" saltValue="QiWuOrHNq4xn3xSxW3lnAQ==" spinCount="100000" sheet="1" objects="1" scenarios="1" selectLockedCells="1"/>
  <mergeCells count="64">
    <mergeCell ref="D130:AJ131"/>
    <mergeCell ref="F105:U105"/>
    <mergeCell ref="F106:U106"/>
    <mergeCell ref="E121:Y121"/>
    <mergeCell ref="AE109:AJ109"/>
    <mergeCell ref="B112:AJ118"/>
    <mergeCell ref="AE101:AJ101"/>
    <mergeCell ref="F104:U104"/>
    <mergeCell ref="B166:H166"/>
    <mergeCell ref="R166:U166"/>
    <mergeCell ref="E138:V138"/>
    <mergeCell ref="E134:V134"/>
    <mergeCell ref="E135:V135"/>
    <mergeCell ref="Z141:AE141"/>
    <mergeCell ref="Z135:AJ136"/>
    <mergeCell ref="Z138:AD138"/>
    <mergeCell ref="AE138:AJ138"/>
    <mergeCell ref="E137:M137"/>
    <mergeCell ref="R137:V137"/>
    <mergeCell ref="E139:I139"/>
    <mergeCell ref="E136:M136"/>
    <mergeCell ref="R136:V136"/>
    <mergeCell ref="AE17:AJ17"/>
    <mergeCell ref="AE18:AJ18"/>
    <mergeCell ref="AE121:AJ121"/>
    <mergeCell ref="AE122:AJ122"/>
    <mergeCell ref="F109:U109"/>
    <mergeCell ref="B120:H120"/>
    <mergeCell ref="F98:U98"/>
    <mergeCell ref="R120:U120"/>
    <mergeCell ref="F108:U108"/>
    <mergeCell ref="Y106:AB106"/>
    <mergeCell ref="AG106:AJ106"/>
    <mergeCell ref="F99:U99"/>
    <mergeCell ref="F100:U100"/>
    <mergeCell ref="Y100:AB100"/>
    <mergeCell ref="AG100:AJ100"/>
    <mergeCell ref="F101:U101"/>
    <mergeCell ref="AE19:AJ19"/>
    <mergeCell ref="Z81:AC81"/>
    <mergeCell ref="Z83:AC83"/>
    <mergeCell ref="E67:Y67"/>
    <mergeCell ref="AE67:AJ67"/>
    <mergeCell ref="AE68:AJ68"/>
    <mergeCell ref="B66:H66"/>
    <mergeCell ref="R66:U66"/>
    <mergeCell ref="E19:Y19"/>
    <mergeCell ref="Z89:AC89"/>
    <mergeCell ref="Z91:AC91"/>
    <mergeCell ref="E17:J17"/>
    <mergeCell ref="N17:Q17"/>
    <mergeCell ref="V17:Y17"/>
    <mergeCell ref="E18:Y18"/>
    <mergeCell ref="F11:AJ11"/>
    <mergeCell ref="E15:Y15"/>
    <mergeCell ref="E16:Y16"/>
    <mergeCell ref="BD1:BV4"/>
    <mergeCell ref="AO6:BC7"/>
    <mergeCell ref="Q1:AK4"/>
    <mergeCell ref="E7:X7"/>
    <mergeCell ref="AE7:AJ7"/>
    <mergeCell ref="AE14:AJ14"/>
    <mergeCell ref="AE15:AJ15"/>
    <mergeCell ref="AE16:AJ16"/>
  </mergeCells>
  <conditionalFormatting sqref="B128 B130">
    <cfRule type="expression" dxfId="51" priority="107">
      <formula>$AM$128=1</formula>
    </cfRule>
  </conditionalFormatting>
  <conditionalFormatting sqref="C63 R63">
    <cfRule type="expression" dxfId="50" priority="112">
      <formula>$AM$63=1</formula>
    </cfRule>
  </conditionalFormatting>
  <conditionalFormatting sqref="E134:E135 E138:E139">
    <cfRule type="expression" dxfId="49" priority="2">
      <formula>ISBLANK(E134)</formula>
    </cfRule>
  </conditionalFormatting>
  <conditionalFormatting sqref="E17:J17">
    <cfRule type="expression" dxfId="48" priority="3">
      <formula>ISBLANK(E17)</formula>
    </cfRule>
  </conditionalFormatting>
  <conditionalFormatting sqref="E136:M137 R136:V137">
    <cfRule type="expression" dxfId="47" priority="1">
      <formula>ISBLANK(E136)</formula>
    </cfRule>
  </conditionalFormatting>
  <conditionalFormatting sqref="E15:Y16 E18:Y19">
    <cfRule type="expression" dxfId="46" priority="6">
      <formula>ISBLANK(E15)</formula>
    </cfRule>
  </conditionalFormatting>
  <conditionalFormatting sqref="E67:Y67 AE67:AJ68">
    <cfRule type="cellIs" dxfId="45" priority="106" operator="equal">
      <formula>0</formula>
    </cfRule>
  </conditionalFormatting>
  <conditionalFormatting sqref="E121:Y121 AE121:AJ122">
    <cfRule type="cellIs" dxfId="44" priority="47" operator="equal">
      <formula>0</formula>
    </cfRule>
  </conditionalFormatting>
  <conditionalFormatting sqref="F98:U101 Y100:AB100 AG100:AJ100 AE101">
    <cfRule type="expression" dxfId="43" priority="111">
      <formula>ISBLANK(F98)</formula>
    </cfRule>
  </conditionalFormatting>
  <conditionalFormatting sqref="F104:U106 Y106:AB106 AG106:AJ106 F108:U109 AE109:AJ109">
    <cfRule type="expression" dxfId="42" priority="110">
      <formula>ISBLANK(F104)</formula>
    </cfRule>
    <cfRule type="expression" priority="108" stopIfTrue="1">
      <formula>$AN$103=2</formula>
    </cfRule>
  </conditionalFormatting>
  <conditionalFormatting sqref="G21 M21">
    <cfRule type="expression" dxfId="41" priority="158">
      <formula>ISBLANK(G21)</formula>
    </cfRule>
  </conditionalFormatting>
  <conditionalFormatting sqref="N17:Q17">
    <cfRule type="expression" dxfId="40" priority="4">
      <formula>ISBLANK(N17)</formula>
    </cfRule>
  </conditionalFormatting>
  <conditionalFormatting sqref="O27 Q27">
    <cfRule type="expression" priority="86" stopIfTrue="1">
      <formula>$AM$27=2</formula>
    </cfRule>
    <cfRule type="expression" dxfId="39" priority="87">
      <formula>ISBLANK(O27)</formula>
    </cfRule>
    <cfRule type="expression" priority="85" stopIfTrue="1">
      <formula>$AM$25=2</formula>
    </cfRule>
  </conditionalFormatting>
  <conditionalFormatting sqref="O29 Q29">
    <cfRule type="expression" priority="83" stopIfTrue="1">
      <formula>$AM$29=2</formula>
    </cfRule>
    <cfRule type="expression" priority="82" stopIfTrue="1">
      <formula>$AM$25=2</formula>
    </cfRule>
    <cfRule type="expression" dxfId="38" priority="84">
      <formula>ISBLANK(O29)</formula>
    </cfRule>
  </conditionalFormatting>
  <conditionalFormatting sqref="O31 Q31">
    <cfRule type="expression" priority="79" stopIfTrue="1">
      <formula>$AM$25=2</formula>
    </cfRule>
    <cfRule type="expression" dxfId="37" priority="81">
      <formula>ISBLANK(O31)</formula>
    </cfRule>
    <cfRule type="expression" priority="80" stopIfTrue="1">
      <formula>$AM$31=2</formula>
    </cfRule>
  </conditionalFormatting>
  <conditionalFormatting sqref="O35 Q35">
    <cfRule type="expression" priority="154" stopIfTrue="1">
      <formula>$AM$33=2</formula>
    </cfRule>
    <cfRule type="expression" priority="155" stopIfTrue="1">
      <formula>$AM$35=2</formula>
    </cfRule>
    <cfRule type="expression" dxfId="36" priority="156">
      <formula>ISBLANK(O35)</formula>
    </cfRule>
  </conditionalFormatting>
  <conditionalFormatting sqref="O37 Q37">
    <cfRule type="expression" priority="151" stopIfTrue="1">
      <formula>$AM$33=2</formula>
    </cfRule>
    <cfRule type="expression" dxfId="35" priority="153">
      <formula>ISBLANK(O37)</formula>
    </cfRule>
    <cfRule type="expression" priority="152" stopIfTrue="1">
      <formula>$AM$37=2</formula>
    </cfRule>
  </conditionalFormatting>
  <conditionalFormatting sqref="O41 Q41">
    <cfRule type="expression" dxfId="34" priority="144">
      <formula>$AM$41=1</formula>
    </cfRule>
    <cfRule type="expression" priority="143" stopIfTrue="1">
      <formula>$AM$41=2</formula>
    </cfRule>
    <cfRule type="expression" priority="142" stopIfTrue="1">
      <formula>$AM$39=2</formula>
    </cfRule>
  </conditionalFormatting>
  <conditionalFormatting sqref="O43 Q43">
    <cfRule type="expression" dxfId="33" priority="141">
      <formula>$AM$43=1</formula>
    </cfRule>
    <cfRule type="expression" priority="140" stopIfTrue="1">
      <formula>$AM$43=2</formula>
    </cfRule>
    <cfRule type="expression" priority="139" stopIfTrue="1">
      <formula>$AM$39=2</formula>
    </cfRule>
  </conditionalFormatting>
  <conditionalFormatting sqref="O47 Q47">
    <cfRule type="expression" dxfId="32" priority="132">
      <formula>$AM$47=1</formula>
    </cfRule>
    <cfRule type="expression" priority="130" stopIfTrue="1">
      <formula>$AM$45=2</formula>
    </cfRule>
    <cfRule type="expression" priority="131" stopIfTrue="1">
      <formula>$AM$47=2</formula>
    </cfRule>
  </conditionalFormatting>
  <conditionalFormatting sqref="O49 Q49">
    <cfRule type="expression" priority="127" stopIfTrue="1">
      <formula>$AM$45=2</formula>
    </cfRule>
    <cfRule type="expression" priority="128" stopIfTrue="1">
      <formula>$AM$49=2</formula>
    </cfRule>
    <cfRule type="expression" dxfId="31" priority="129">
      <formula>$AM$49=1</formula>
    </cfRule>
  </conditionalFormatting>
  <conditionalFormatting sqref="O51 Q51">
    <cfRule type="expression" priority="10" stopIfTrue="1">
      <formula>$AM$51=2</formula>
    </cfRule>
    <cfRule type="expression" dxfId="30" priority="11">
      <formula>$AM$51=1</formula>
    </cfRule>
  </conditionalFormatting>
  <conditionalFormatting sqref="P55 S55">
    <cfRule type="expression" dxfId="29" priority="31">
      <formula>ISBLANK(P55)</formula>
    </cfRule>
    <cfRule type="cellIs" priority="30" stopIfTrue="1" operator="greaterThan">
      <formula>0</formula>
    </cfRule>
    <cfRule type="expression" priority="29" stopIfTrue="1">
      <formula>$AM$55=2</formula>
    </cfRule>
  </conditionalFormatting>
  <conditionalFormatting sqref="P57 S57">
    <cfRule type="cellIs" priority="25" stopIfTrue="1" operator="greaterThan">
      <formula>0</formula>
    </cfRule>
    <cfRule type="expression" dxfId="28" priority="26">
      <formula>ISBLANK(P57)</formula>
    </cfRule>
    <cfRule type="expression" priority="24" stopIfTrue="1">
      <formula>$AM$57=2</formula>
    </cfRule>
  </conditionalFormatting>
  <conditionalFormatting sqref="P59 S59">
    <cfRule type="cellIs" priority="20" stopIfTrue="1" operator="greaterThan">
      <formula>0</formula>
    </cfRule>
    <cfRule type="expression" priority="19" stopIfTrue="1">
      <formula>$AM$59=2</formula>
    </cfRule>
    <cfRule type="expression" dxfId="27" priority="21">
      <formula>ISBLANK(P59)</formula>
    </cfRule>
  </conditionalFormatting>
  <conditionalFormatting sqref="V17:Y17">
    <cfRule type="expression" dxfId="26" priority="5">
      <formula>ISBLANK(V17)</formula>
    </cfRule>
  </conditionalFormatting>
  <conditionalFormatting sqref="W55">
    <cfRule type="expression" dxfId="25" priority="28">
      <formula>$AN$55=2</formula>
    </cfRule>
    <cfRule type="cellIs" priority="27" stopIfTrue="1" operator="greaterThan">
      <formula>0</formula>
    </cfRule>
  </conditionalFormatting>
  <conditionalFormatting sqref="W57">
    <cfRule type="expression" dxfId="24" priority="23">
      <formula>$AN$57=2</formula>
    </cfRule>
    <cfRule type="cellIs" priority="22" stopIfTrue="1" operator="greaterThan">
      <formula>0</formula>
    </cfRule>
  </conditionalFormatting>
  <conditionalFormatting sqref="W59">
    <cfRule type="cellIs" priority="17" stopIfTrue="1" operator="greaterThan">
      <formula>0</formula>
    </cfRule>
    <cfRule type="expression" dxfId="23" priority="18">
      <formula>$AN$59=2</formula>
    </cfRule>
  </conditionalFormatting>
  <conditionalFormatting sqref="X103">
    <cfRule type="expression" dxfId="22" priority="109">
      <formula>$AN$103=1</formula>
    </cfRule>
  </conditionalFormatting>
  <conditionalFormatting sqref="Z89 AE89 AH89">
    <cfRule type="expression" dxfId="21" priority="120">
      <formula>$AM$89=2</formula>
    </cfRule>
    <cfRule type="expression" priority="117" stopIfTrue="1">
      <formula>$AM$89=1</formula>
    </cfRule>
  </conditionalFormatting>
  <conditionalFormatting sqref="Z89">
    <cfRule type="cellIs" priority="119" stopIfTrue="1" operator="greaterThan">
      <formula>0</formula>
    </cfRule>
  </conditionalFormatting>
  <conditionalFormatting sqref="Z91 AE91 AH91">
    <cfRule type="expression" dxfId="20" priority="116">
      <formula>$AM$91=2</formula>
    </cfRule>
    <cfRule type="expression" priority="113" stopIfTrue="1">
      <formula>$AM$91=1</formula>
    </cfRule>
  </conditionalFormatting>
  <conditionalFormatting sqref="Z91">
    <cfRule type="cellIs" priority="115" stopIfTrue="1" operator="greaterThan">
      <formula>0</formula>
    </cfRule>
  </conditionalFormatting>
  <conditionalFormatting sqref="Z81:AC81">
    <cfRule type="expression" dxfId="19" priority="46">
      <formula>$AM$81=2</formula>
    </cfRule>
    <cfRule type="cellIs" priority="45" stopIfTrue="1" operator="greaterThan">
      <formula>0</formula>
    </cfRule>
    <cfRule type="expression" priority="44" stopIfTrue="1">
      <formula>$AM$81=1</formula>
    </cfRule>
  </conditionalFormatting>
  <conditionalFormatting sqref="Z83:AC83">
    <cfRule type="expression" priority="41" stopIfTrue="1">
      <formula>$AM$83=1</formula>
    </cfRule>
    <cfRule type="expression" dxfId="18" priority="43">
      <formula>$AM$83=2</formula>
    </cfRule>
    <cfRule type="cellIs" priority="42" stopIfTrue="1" operator="greaterThan">
      <formula>0</formula>
    </cfRule>
  </conditionalFormatting>
  <conditionalFormatting sqref="Z141:AE141">
    <cfRule type="expression" dxfId="17" priority="159">
      <formula>ISBLANK(Z141)</formula>
    </cfRule>
  </conditionalFormatting>
  <conditionalFormatting sqref="Z135:AJ136">
    <cfRule type="expression" dxfId="16" priority="15">
      <formula>ISBLANK(Z135)</formula>
    </cfRule>
    <cfRule type="expression" priority="14" stopIfTrue="1">
      <formula>$AM$102=2</formula>
    </cfRule>
  </conditionalFormatting>
  <conditionalFormatting sqref="AE14:AE18">
    <cfRule type="expression" dxfId="15" priority="8">
      <formula>ISBLANK(AE14)</formula>
    </cfRule>
  </conditionalFormatting>
  <conditionalFormatting sqref="AE81 AH81">
    <cfRule type="expression" priority="38" stopIfTrue="1">
      <formula>$AM$81=1</formula>
    </cfRule>
    <cfRule type="expression" priority="39" stopIfTrue="1">
      <formula>$AN$81=2</formula>
    </cfRule>
    <cfRule type="expression" dxfId="14" priority="40">
      <formula>$AM$81=2</formula>
    </cfRule>
  </conditionalFormatting>
  <conditionalFormatting sqref="AE83 AH83">
    <cfRule type="expression" dxfId="13" priority="37">
      <formula>$AM$83=2</formula>
    </cfRule>
    <cfRule type="expression" priority="35" stopIfTrue="1">
      <formula>$AM$83=1</formula>
    </cfRule>
    <cfRule type="expression" priority="36" stopIfTrue="1">
      <formula>$AN$83=2</formula>
    </cfRule>
  </conditionalFormatting>
  <conditionalFormatting sqref="AE89 AH89">
    <cfRule type="expression" priority="118" stopIfTrue="1">
      <formula>$AN$89=2</formula>
    </cfRule>
  </conditionalFormatting>
  <conditionalFormatting sqref="AE91 AH91">
    <cfRule type="expression" priority="114" stopIfTrue="1">
      <formula>$AN$91=2</formula>
    </cfRule>
  </conditionalFormatting>
  <conditionalFormatting sqref="AE14:AJ14">
    <cfRule type="expression" priority="7" stopIfTrue="1">
      <formula>$AM$14=0</formula>
    </cfRule>
  </conditionalFormatting>
  <conditionalFormatting sqref="AE19:AJ19">
    <cfRule type="expression" dxfId="12" priority="161">
      <formula>ISBLANK(AE19)</formula>
    </cfRule>
  </conditionalFormatting>
  <conditionalFormatting sqref="AE138:AJ138">
    <cfRule type="expression" dxfId="11" priority="13">
      <formula>ISBLANK(AE138)</formula>
    </cfRule>
  </conditionalFormatting>
  <conditionalFormatting sqref="AG27 AI27">
    <cfRule type="expression" dxfId="10" priority="78">
      <formula>ISBLANK(AI27)</formula>
    </cfRule>
    <cfRule type="expression" priority="77" stopIfTrue="1">
      <formula>$AN$27=2</formula>
    </cfRule>
    <cfRule type="expression" priority="76" stopIfTrue="1">
      <formula>$AN$25=2</formula>
    </cfRule>
  </conditionalFormatting>
  <conditionalFormatting sqref="AG29 AI29">
    <cfRule type="expression" dxfId="9" priority="75">
      <formula>ISBLANK(AG29)</formula>
    </cfRule>
    <cfRule type="expression" priority="74" stopIfTrue="1">
      <formula>$AN$29=2</formula>
    </cfRule>
    <cfRule type="expression" priority="73" stopIfTrue="1">
      <formula>$AN$25=2</formula>
    </cfRule>
  </conditionalFormatting>
  <conditionalFormatting sqref="AG31 AI31">
    <cfRule type="expression" priority="70" stopIfTrue="1">
      <formula>$AN$25=2</formula>
    </cfRule>
    <cfRule type="expression" dxfId="8" priority="72">
      <formula>ISBLANK(AG31)</formula>
    </cfRule>
    <cfRule type="expression" priority="71" stopIfTrue="1">
      <formula>$AN$31=2</formula>
    </cfRule>
  </conditionalFormatting>
  <conditionalFormatting sqref="AG35 AI35">
    <cfRule type="expression" priority="148" stopIfTrue="1">
      <formula>$AN$33=2</formula>
    </cfRule>
    <cfRule type="expression" priority="149" stopIfTrue="1">
      <formula>$AN$35=2</formula>
    </cfRule>
    <cfRule type="expression" dxfId="7" priority="150">
      <formula>ISBLANK(AG35)</formula>
    </cfRule>
  </conditionalFormatting>
  <conditionalFormatting sqref="AG37 AI37">
    <cfRule type="expression" dxfId="6" priority="147">
      <formula>$AN$37=1</formula>
    </cfRule>
    <cfRule type="expression" priority="145" stopIfTrue="1">
      <formula>$AN$33=2</formula>
    </cfRule>
    <cfRule type="expression" priority="146" stopIfTrue="1">
      <formula>$AN$37=2</formula>
    </cfRule>
  </conditionalFormatting>
  <conditionalFormatting sqref="AG41 AI41">
    <cfRule type="expression" priority="136" stopIfTrue="1">
      <formula>$AN$39=2</formula>
    </cfRule>
    <cfRule type="expression" priority="137" stopIfTrue="1">
      <formula>$AN$41=2</formula>
    </cfRule>
    <cfRule type="expression" dxfId="5" priority="138">
      <formula>$AN$41=1</formula>
    </cfRule>
  </conditionalFormatting>
  <conditionalFormatting sqref="AG43 AI43">
    <cfRule type="expression" priority="134" stopIfTrue="1">
      <formula>$AN$43=2</formula>
    </cfRule>
    <cfRule type="expression" dxfId="4" priority="135">
      <formula>$AN$43=1</formula>
    </cfRule>
    <cfRule type="expression" priority="133" stopIfTrue="1">
      <formula>$AN$39=2</formula>
    </cfRule>
  </conditionalFormatting>
  <conditionalFormatting sqref="AG47 AI47">
    <cfRule type="expression" dxfId="3" priority="879">
      <formula>$AN$47=1</formula>
    </cfRule>
    <cfRule type="expression" priority="880">
      <formula>$AN$47=2</formula>
    </cfRule>
  </conditionalFormatting>
  <conditionalFormatting sqref="AG49 AI49">
    <cfRule type="expression" dxfId="2" priority="123">
      <formula>$AN$49=1</formula>
    </cfRule>
    <cfRule type="expression" priority="124">
      <formula>$AN$49=2</formula>
    </cfRule>
  </conditionalFormatting>
  <conditionalFormatting sqref="AG51 AI51">
    <cfRule type="expression" dxfId="1" priority="59">
      <formula>ISBLANK(AG51)</formula>
    </cfRule>
    <cfRule type="expression" priority="58" stopIfTrue="1">
      <formula>$AN$51=2</formula>
    </cfRule>
  </conditionalFormatting>
  <conditionalFormatting sqref="AG53 AI53">
    <cfRule type="expression" dxfId="0" priority="57">
      <formula>ISBLANK(AG53)</formula>
    </cfRule>
    <cfRule type="expression" priority="56" stopIfTrue="1">
      <formula>$AN$53=2</formula>
    </cfRule>
  </conditionalFormatting>
  <pageMargins left="0.2" right="0.2" top="0.5" bottom="0.25" header="0.3" footer="0.3"/>
  <pageSetup orientation="portrait" r:id="rId1"/>
  <rowBreaks count="2" manualBreakCount="2">
    <brk id="66" max="16383" man="1"/>
    <brk id="120" max="16383" man="1"/>
  </rowBreaks>
  <colBreaks count="1" manualBreakCount="1">
    <brk id="37" max="1048575" man="1"/>
  </col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7134608D-9455-428F-9D54-FC279A198D45}">
          <x14:formula1>
            <xm:f>Tables!$G$20:$G$26</xm:f>
          </x14:formula1>
          <xm:sqref>Z135:AJ136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Form 2D - Design</vt:lpstr>
      <vt:lpstr>Form 3D - As-built</vt:lpstr>
      <vt:lpstr>Form 4D - Inspection</vt:lpstr>
      <vt:lpstr>Material</vt:lpstr>
      <vt:lpstr>'Form 2D - Design'!Print_Area</vt:lpstr>
      <vt:lpstr>'Form 3D - As-built'!Print_Area</vt:lpstr>
      <vt:lpstr>'Form 4D - Inspection'!Print_Area</vt:lpstr>
      <vt:lpstr>'Form 2D - Design'!Print_Titles</vt:lpstr>
      <vt:lpstr>'Form 3D - As-built'!Print_Titles</vt:lpstr>
      <vt:lpstr>'Form 4D - Inspection'!Print_Titles</vt:lpstr>
      <vt:lpstr>Shape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Dewayne Smith</dc:creator>
  <cp:lastModifiedBy>Dewayne Smith</cp:lastModifiedBy>
  <cp:lastPrinted>2024-03-23T00:52:25Z</cp:lastPrinted>
  <dcterms:created xsi:type="dcterms:W3CDTF">2021-11-21T16:55:43Z</dcterms:created>
  <dcterms:modified xsi:type="dcterms:W3CDTF">2024-03-24T14:53:55Z</dcterms:modified>
</cp:coreProperties>
</file>